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1758a9bb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5c5041def0b142c5"/>
    <x:sheet xmlns:r="http://schemas.openxmlformats.org/officeDocument/2006/relationships" name="LEIA-ME" sheetId="2" r:id="R856d14f3b91e44ce"/>
    <x:sheet xmlns:r="http://schemas.openxmlformats.org/officeDocument/2006/relationships" name="Dados" sheetId="3" r:id="Rdb7c830fcd8b46bb"/>
    <x:sheet xmlns:r="http://schemas.openxmlformats.org/officeDocument/2006/relationships" name="Premissas" sheetId="4" r:id="R72e003d61ce94f8c"/>
    <x:sheet xmlns:r="http://schemas.openxmlformats.org/officeDocument/2006/relationships" name="Modelos" sheetId="5" r:id="R31d435ac924c4bbc"/>
    <x:sheet xmlns:r="http://schemas.openxmlformats.org/officeDocument/2006/relationships" name="Media_Movel" sheetId="6" r:id="R028e0c025f5148ab"/>
    <x:sheet xmlns:r="http://schemas.openxmlformats.org/officeDocument/2006/relationships" name="MMV" sheetId="7" r:id="Rd85e08c0c24147b0"/>
    <x:sheet xmlns:r="http://schemas.openxmlformats.org/officeDocument/2006/relationships" name="Auditoria" sheetId="8" r:id="R27e630098f3e4dea"/>
    <x:sheet xmlns:r="http://schemas.openxmlformats.org/officeDocument/2006/relationships" name="Atividades" sheetId="9" r:id="Rbb3b3d1519614381"/>
    <x:sheet xmlns:r="http://schemas.openxmlformats.org/officeDocument/2006/relationships" name="Gabarito" sheetId="10" r:id="Rcb5bf37304c143d2"/>
    <x:sheet xmlns:r="http://schemas.openxmlformats.org/officeDocument/2006/relationships" name="Conformidade" sheetId="11" r:id="Rc1e390c50db342d2"/>
    <x:sheet xmlns:r="http://schemas.openxmlformats.org/officeDocument/2006/relationships" name="Natureza_Fonte" sheetId="12" r:id="Rd937aeac94264f6b"/>
    <x:sheet xmlns:r="http://schemas.openxmlformats.org/officeDocument/2006/relationships" name="Impacto_Fiscal" sheetId="13" r:id="R567a59f21ea64aab"/>
    <x:sheet xmlns:r="http://schemas.openxmlformats.org/officeDocument/2006/relationships" name="Demandas_CEAT" sheetId="14" r:id="R94faca50f0854d18"/>
    <x:sheet xmlns:r="http://schemas.openxmlformats.org/officeDocument/2006/relationships" name="Relatorio" sheetId="15" r:id="R1bcd93e3079341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&quot; #,##0.00"/>
    <x:numFmt numFmtId="201" formatCode="0.000"/>
    <x:numFmt numFmtId="202" formatCode="0.0%"/>
  </x:numFmts>
  <x:fonts count="11">
    <x:font>
      <x:sz val="11"/>
      <x:name val="Carlito"/>
    </x:font>
    <x:font>
      <x:b/>
      <x:sz val="18"/>
      <x:color rgb="FFFFFFFF"/>
      <x:name val="Aptos"/>
    </x:font>
    <x:font>
      <x:i/>
      <x:sz val="10"/>
      <x:color rgb="FF16324F"/>
      <x:name val="Aptos"/>
    </x:font>
    <x:font>
      <x:b/>
      <x:sz val="11"/>
      <x:color rgb="FF16324F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sz val="11"/>
      <x:color rgb="FF16324F"/>
      <x:name val="Aptos"/>
    </x:font>
    <x:font>
      <x:b/>
      <x:sz val="12"/>
      <x:color rgb="FF16324F"/>
      <x:name val="Aptos"/>
    </x:font>
    <x:font>
      <x:b/>
      <x:sz val="15"/>
      <x:color rgb="FF16324F"/>
      <x:name val="Aptos"/>
    </x:font>
    <x:font>
      <x:b/>
      <x:sz val="12"/>
      <x:color rgb="FFFFFFFF"/>
      <x:name val="Aptos"/>
    </x:font>
    <x:font>
      <x:sz val="11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4F1"/>
      </x:patternFill>
    </x:fill>
    <x:fill>
      <x:patternFill patternType="solid">
        <x:fgColor rgb="FFF4F6F8"/>
      </x:patternFill>
    </x:fill>
    <x:fill>
      <x:patternFill patternType="solid">
        <x:fgColor rgb="FFFFF4CC"/>
      </x:patternFill>
    </x:fill>
    <x:fill>
      <x:patternFill patternType="solid">
        <x:fgColor rgb="FF0F766E"/>
      </x:patternFill>
    </x:fill>
    <x:fill>
      <x:patternFill patternType="solid">
        <x:fgColor rgb="FFE8F0FE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D0D5DD"/>
      </x:left>
      <x:top style="thin">
        <x:color rgb="FFD0D5DD"/>
      </x:top>
      <x:bottom style="thin">
        <x:color rgb="FFD0D5DD"/>
      </x:bottom>
    </x:border>
    <x:border>
      <x:top style="thin">
        <x:color rgb="FFD0D5DD"/>
      </x:top>
      <x:bottom style="thin">
        <x:color rgb="FFD0D5DD"/>
      </x:bottom>
    </x:border>
    <x:border>
      <x:right style="thin">
        <x:color rgb="FFD0D5DD"/>
      </x:right>
      <x:top style="thin">
        <x:color rgb="FFD0D5DD"/>
      </x:top>
      <x:bottom style="thin">
        <x:color rgb="FFD0D5DD"/>
      </x:bottom>
    </x:border>
    <x:border>
      <x:left style="thin">
        <x:color rgb="FFD0D5DD"/>
      </x:left>
      <x:right style="thin">
        <x:color rgb="FFD0D5DD"/>
      </x:right>
      <x:top style="thin">
        <x:color rgb="FFD0D5DD"/>
      </x:top>
      <x:bottom style="thin">
        <x:color rgb="FFD0D5DD"/>
      </x:bottom>
    </x:border>
  </x:borders>
  <x:cellStyleXfs count="1">
    <x:xf numFmtId="0" fontId="0" fillId="0" borderId="0"/>
  </x:cellStyleXfs>
  <x:cellXfs count="1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4" xfId="0" applyNumberFormat="1" applyFont="1" applyFill="1" applyBorder="1"/>
    <x:xf numFmtId="0" fontId="0" fillId="5" borderId="4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4" xfId="0" applyNumberFormat="1" applyFont="1" applyFill="1" applyBorder="1"/>
    <x:xf numFmtId="0" fontId="4" fillId="6" borderId="4" xfId="0" applyNumberFormat="1" applyFont="1" applyFill="1" applyBorder="1" applyAlignment="1">
      <x:alignment wrapText="1"/>
    </x:xf>
    <x:xf numFmtId="0" fontId="4" fillId="6" borderId="4" xfId="0" applyNumberFormat="1" applyFont="1" applyFill="1" applyBorder="1" applyAlignment="1">
      <x:alignment horizontal="center" wrapText="1"/>
    </x:xf>
    <x:xf numFmtId="0" fontId="4" fillId="6" borderId="4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 wrapText="1"/>
    </x:xf>
    <x:xf numFmtId="0" fontId="0" fillId="6" borderId="4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4" xfId="0" applyNumberFormat="1" applyFont="1" applyFill="1" applyBorder="1"/>
    <x:xf numFmtId="0" fontId="6" fillId="7" borderId="4" xfId="0" applyNumberFormat="1" applyFont="1" applyFill="1" applyBorder="1" applyAlignment="1">
      <x:alignment wrapText="1"/>
    </x:xf>
    <x:xf numFmtId="0" fontId="6" fillId="7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  <x:xf numFmtId="0" fontId="0" fillId="5" borderId="4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200" fontId="0" fillId="5" borderId="4" xfId="0" applyNumberFormat="1" applyFont="1" applyFill="1" applyBorder="1" applyAlignment="1">
      <x:alignment vertical="center"/>
    </x:xf>
    <x:xf numFmtId="200" fontId="0" fillId="7" borderId="4" xfId="0" applyNumberFormat="1" applyFont="1" applyFill="1" applyBorder="1" applyAlignment="1">
      <x:alignment vertical="center"/>
    </x:xf>
    <x:xf numFmtId="200" fontId="3" fillId="4" borderId="4" xfId="0" applyNumberFormat="1" applyFont="1" applyFill="1" applyBorder="1" applyAlignment="1">
      <x:alignment vertical="center"/>
    </x:xf>
    <x:xf numFmtId="0" fontId="0" fillId="5" borderId="4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0" fillId="3" borderId="4" xfId="0" applyNumberFormat="1" applyFont="1" applyFill="1" applyBorder="1"/>
    <x:xf numFmtId="0" fontId="0" fillId="3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vertical="top" wrapText="1"/>
    </x:xf>
    <x:xf numFmtId="201" fontId="0" fillId="5" borderId="4" xfId="0" applyNumberFormat="1" applyFont="1" applyFill="1" applyBorder="1" applyAlignment="1">
      <x:alignment vertical="center"/>
    </x:xf>
    <x:xf numFmtId="201" fontId="0" fillId="7" borderId="4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/>
    <x:xf numFmtId="0" fontId="0" fillId="7" borderId="4" xfId="0" applyNumberFormat="1" applyFont="1" applyFill="1" applyBorder="1" applyAlignment="1">
      <x:alignment wrapText="1"/>
    </x:xf>
    <x:xf numFmtId="0" fontId="0" fillId="7" borderId="4" xfId="0" applyNumberFormat="1" applyFont="1" applyFill="1" applyBorder="1" applyAlignment="1">
      <x:alignment vertical="top" wrapText="1"/>
    </x:xf>
    <x:xf numFmtId="200" fontId="0" fillId="0" borderId="4" xfId="0" applyNumberFormat="1" applyFont="1" applyFill="1" applyBorder="1" applyAlignment="1">
      <x:alignment vertical="center"/>
    </x:xf>
    <x:xf numFmtId="201" fontId="0" fillId="0" borderId="4" xfId="0" applyNumberFormat="1" applyFont="1" applyFill="1" applyBorder="1" applyAlignment="1">
      <x:alignment vertical="center"/>
    </x:xf>
    <x:xf numFmtId="0" fontId="0" fillId="3" borderId="4" xfId="0" applyNumberFormat="1" applyFont="1" applyFill="1" applyBorder="1" applyAlignment="1">
      <x:alignment vertical="center"/>
    </x:xf>
    <x:xf numFmtId="201" fontId="0" fillId="3" borderId="4" xfId="0" applyNumberFormat="1" applyFont="1" applyFill="1" applyBorder="1" applyAlignment="1">
      <x:alignment vertical="center"/>
    </x:xf>
    <x:xf numFmtId="200" fontId="0" fillId="3" borderId="4" xfId="0" applyNumberFormat="1" applyFont="1" applyFill="1" applyBorder="1" applyAlignment="1">
      <x:alignment vertical="center"/>
    </x:xf>
    <x:xf numFmtId="202" fontId="0" fillId="0" borderId="4" xfId="0" applyNumberFormat="1" applyFont="1" applyFill="1" applyBorder="1" applyAlignment="1">
      <x:alignment vertical="center"/>
    </x:xf>
    <x:xf numFmtId="202" fontId="3" fillId="4" borderId="4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7" fillId="3" borderId="4" xfId="0" applyNumberFormat="1" applyFont="1" applyFill="1" applyBorder="1"/>
    <x:xf numFmtId="0" fontId="7" fillId="3" borderId="4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horizontal="center" wrapText="1"/>
    </x:xf>
    <x:xf numFmtId="0" fontId="7" fillId="3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4" xfId="0" applyNumberFormat="1" applyFont="1" applyFill="1" applyBorder="1"/>
    <x:xf numFmtId="0" fontId="8" fillId="8" borderId="4" xfId="0" applyNumberFormat="1" applyFont="1" applyFill="1" applyBorder="1" applyAlignment="1">
      <x:alignment horizontal="center"/>
    </x:xf>
    <x:xf numFmtId="0" fontId="8" fillId="8" borderId="4" xfId="0" applyNumberFormat="1" applyFont="1" applyFill="1" applyBorder="1" applyAlignment="1">
      <x:alignment horizontal="center" vertical="center"/>
    </x:xf>
    <x:xf numFmtId="200" fontId="8" fillId="8" borderId="4" xfId="0" applyNumberFormat="1" applyFont="1" applyFill="1" applyBorder="1" applyAlignment="1">
      <x:alignment horizontal="center" vertical="center"/>
    </x:xf>
    <x:xf numFmtId="202" fontId="8" fillId="8" borderId="4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/>
    <x:xf numFmtId="0" fontId="6" fillId="5" borderId="4" xfId="0" applyNumberFormat="1" applyFont="1" applyFill="1" applyBorder="1"/>
    <x:xf numFmtId="0" fontId="6" fillId="5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2" fontId="0" fillId="0" borderId="4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vertical="center"/>
    </x:xf>
    <x:xf numFmtId="0" fontId="0" fillId="8" borderId="4" xfId="0" applyNumberFormat="1" applyFont="1" applyFill="1" applyBorder="1"/>
    <x:xf numFmtId="0" fontId="0" fillId="8" borderId="4" xfId="0" applyNumberFormat="1" applyFont="1" applyFill="1" applyBorder="1" applyAlignment="1">
      <x:alignment wrapText="1"/>
    </x:xf>
    <x:xf numFmtId="0" fontId="0" fillId="8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/>
    <x:xf numFmtId="0" fontId="0" fillId="4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vertical="top" wrapText="1"/>
    </x:xf>
    <x:xf numFmtId="200" fontId="0" fillId="0" borderId="4" xfId="0" applyNumberFormat="1" applyFont="1" applyFill="1" applyBorder="1" applyAlignment="1">
      <x:alignment vertical="center" wrapText="1"/>
    </x:xf>
    <x:xf numFmtId="0" fontId="3" fillId="7" borderId="4" xfId="0" applyNumberFormat="1" applyFont="1" applyFill="1" applyBorder="1" applyAlignment="1">
      <x:alignment vertical="center"/>
    </x:xf>
    <x:xf numFmtId="0" fontId="3" fillId="7" borderId="4" xfId="0" applyNumberFormat="1" applyFont="1" applyFill="1" applyBorder="1" applyAlignment="1">
      <x:alignment vertical="center" wrapText="1"/>
    </x:xf>
    <x:xf numFmtId="0" fontId="3" fillId="5" borderId="4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4" xfId="0" applyNumberFormat="1" applyFont="1" applyFill="1" applyBorder="1" applyAlignment="1">
      <x:alignment vertical="center"/>
    </x:xf>
    <x:xf numFmtId="200" fontId="10" fillId="0" borderId="4" xfId="0" applyNumberFormat="1" applyFont="1" applyFill="1" applyBorder="1" applyAlignment="1">
      <x:alignment vertical="center"/>
    </x:xf>
    <x:xf numFmtId="0" fontId="10" fillId="5" borderId="4" xfId="0" applyNumberFormat="1" applyFont="1" applyFill="1" applyBorder="1" applyAlignment="1">
      <x:alignment vertical="top" wrapText="1"/>
    </x:xf>
    <x:xf numFmtId="0" fontId="10" fillId="0" borderId="4" xfId="0" applyNumberFormat="1" applyFont="1" applyFill="1" applyBorder="1" applyAlignment="1">
      <x:alignment vertical="center" wrapText="1"/>
    </x:xf>
    <x:xf numFmtId="200" fontId="10" fillId="5" borderId="4" xfId="0" applyNumberFormat="1" applyFont="1" applyFill="1" applyBorder="1" applyAlignment="1">
      <x:alignment vertical="center"/>
    </x:xf>
    <x:xf numFmtId="200" fontId="10" fillId="7" borderId="4" xfId="0" applyNumberFormat="1" applyFont="1" applyFill="1" applyBorder="1" applyAlignment="1">
      <x:alignment vertical="center"/>
    </x:xf>
    <x:xf numFmtId="0" fontId="10" fillId="5" borderId="4" xfId="0" applyNumberFormat="1" applyFont="1" applyFill="1" applyBorder="1" applyAlignment="1">
      <x:alignment vertical="center" wrapText="1"/>
    </x:xf>
    <x:xf numFmtId="0" fontId="10" fillId="3" borderId="4" xfId="0" applyNumberFormat="1" applyFont="1" applyFill="1" applyBorder="1" applyAlignment="1">
      <x:alignment vertical="top" wrapText="1"/>
    </x:xf>
    <x:xf numFmtId="0" fontId="10" fillId="5" borderId="4" xfId="0" applyNumberFormat="1" applyFont="1" applyFill="1" applyBorder="1" applyAlignment="1">
      <x:alignment vertical="center"/>
    </x:xf>
    <x:xf numFmtId="201" fontId="10" fillId="5" borderId="4" xfId="0" applyNumberFormat="1" applyFont="1" applyFill="1" applyBorder="1" applyAlignment="1">
      <x:alignment vertical="center"/>
    </x:xf>
    <x:xf numFmtId="201" fontId="10" fillId="7" borderId="4" xfId="0" applyNumberFormat="1" applyFont="1" applyFill="1" applyBorder="1" applyAlignment="1">
      <x:alignment vertical="center"/>
    </x:xf>
    <x:xf numFmtId="0" fontId="10" fillId="7" borderId="4" xfId="0" applyNumberFormat="1" applyFont="1" applyFill="1" applyBorder="1" applyAlignment="1">
      <x:alignment vertical="top" wrapText="1"/>
    </x:xf>
    <x:xf numFmtId="201" fontId="10" fillId="0" borderId="4" xfId="0" applyNumberFormat="1" applyFont="1" applyFill="1" applyBorder="1" applyAlignment="1">
      <x:alignment vertical="center"/>
    </x:xf>
    <x:xf numFmtId="202" fontId="10" fillId="0" borderId="4" xfId="0" applyNumberFormat="1" applyFont="1" applyFill="1" applyBorder="1" applyAlignment="1">
      <x:alignment vertical="center"/>
    </x:xf>
    <x:xf numFmtId="0" fontId="10" fillId="4" borderId="4" xfId="0" applyNumberFormat="1" applyFont="1" applyFill="1" applyBorder="1" applyAlignment="1">
      <x:alignment vertical="center"/>
    </x:xf>
    <x:xf numFmtId="0" fontId="10" fillId="7" borderId="4" xfId="0" applyNumberFormat="1" applyFont="1" applyFill="1" applyBorder="1" applyAlignment="1">
      <x:alignment vertical="center"/>
    </x:xf>
    <x:xf numFmtId="201" fontId="10" fillId="3" borderId="4" xfId="0" applyNumberFormat="1" applyFont="1" applyFill="1" applyBorder="1" applyAlignment="1">
      <x:alignment vertical="center"/>
    </x:xf>
    <x:xf numFmtId="200" fontId="10" fillId="3" borderId="4" xfId="0" applyNumberFormat="1" applyFont="1" applyFill="1" applyBorder="1" applyAlignment="1">
      <x:alignment vertical="center"/>
    </x:xf>
    <x:xf numFmtId="0" fontId="10" fillId="8" borderId="4" xfId="0" applyNumberFormat="1" applyFont="1" applyFill="1" applyBorder="1" applyAlignment="1">
      <x:alignment vertical="top" wrapText="1"/>
    </x:xf>
    <x:xf numFmtId="0" fontId="10" fillId="4" borderId="4" xfId="0" applyNumberFormat="1" applyFont="1" applyFill="1" applyBorder="1" applyAlignment="1">
      <x:alignment vertical="top" wrapText="1"/>
    </x:xf>
    <x:xf numFmtId="200" fontId="10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2"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16324F"/>
      </x:font>
      <x:fill>
        <x:patternFill patternType="solid">
          <x:bgColor rgb="FFFFF4CC"/>
        </x:patternFill>
      </x:fill>
    </x:dxf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2F855A"/>
      </x:font>
      <x:fill>
        <x:patternFill patternType="solid">
          <x:bgColor rgb="FFDFF3E4"/>
        </x:patternFill>
      </x:fill>
    </x:dxf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2F855A"/>
      </x:font>
      <x:fill>
        <x:patternFill patternType="solid">
          <x:bgColor rgb="FFDFF3E4"/>
        </x:patternFill>
      </x:fill>
    </x:dxf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9A6700"/>
      </x:font>
      <x:fill>
        <x:patternFill patternType="solid">
          <x:bgColor rgb="FFFFF4CC"/>
        </x:patternFill>
      </x:fill>
    </x:dxf>
    <x:dxf>
      <x:font>
        <x:b/>
        <x:color rgb="FF9A6700"/>
      </x:font>
      <x:fill>
        <x:patternFill patternType="solid">
          <x:bgColor rgb="FFFFF4CC"/>
        </x:patternFill>
      </x:fill>
    </x:dxf>
    <x:dxf>
      <x:font>
        <x:b/>
        <x:color rgb="FF2F855A"/>
      </x:font>
      <x:fill>
        <x:patternFill patternType="solid">
          <x:bgColor rgb="FFDFF3E4"/>
        </x:patternFill>
      </x:fill>
    </x:dxf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9A6700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4c0759f70416e" /><Relationship Type="http://schemas.openxmlformats.org/officeDocument/2006/relationships/theme" Target="/xl/theme/theme1.xml" Id="R451c290dd67f4045" /><Relationship Type="http://schemas.openxmlformats.org/officeDocument/2006/relationships/sharedStrings" Target="/xl/sharedStrings.xml" Id="R7c45e54f311541b3" /><Relationship Type="http://schemas.openxmlformats.org/officeDocument/2006/relationships/worksheet" Target="/xl/worksheets/sheet1.xml" Id="R5c5041def0b142c5" /><Relationship Type="http://schemas.openxmlformats.org/officeDocument/2006/relationships/worksheet" Target="/xl/worksheets/sheet2.xml" Id="R856d14f3b91e44ce" /><Relationship Type="http://schemas.openxmlformats.org/officeDocument/2006/relationships/worksheet" Target="/xl/worksheets/sheet3.xml" Id="Rdb7c830fcd8b46bb" /><Relationship Type="http://schemas.openxmlformats.org/officeDocument/2006/relationships/worksheet" Target="/xl/worksheets/sheet4.xml" Id="R72e003d61ce94f8c" /><Relationship Type="http://schemas.openxmlformats.org/officeDocument/2006/relationships/worksheet" Target="/xl/worksheets/sheet5.xml" Id="R31d435ac924c4bbc" /><Relationship Type="http://schemas.openxmlformats.org/officeDocument/2006/relationships/worksheet" Target="/xl/worksheets/sheet6.xml" Id="R028e0c025f5148ab" /><Relationship Type="http://schemas.openxmlformats.org/officeDocument/2006/relationships/worksheet" Target="/xl/worksheets/sheet7.xml" Id="Rd85e08c0c24147b0" /><Relationship Type="http://schemas.openxmlformats.org/officeDocument/2006/relationships/worksheet" Target="/xl/worksheets/sheet8.xml" Id="R27e630098f3e4dea" /><Relationship Type="http://schemas.openxmlformats.org/officeDocument/2006/relationships/worksheet" Target="/xl/worksheets/sheet9.xml" Id="Rbb3b3d1519614381" /><Relationship Type="http://schemas.openxmlformats.org/officeDocument/2006/relationships/worksheet" Target="/xl/worksheets/sheet10.xml" Id="Rcb5bf37304c143d2" /><Relationship Type="http://schemas.openxmlformats.org/officeDocument/2006/relationships/worksheet" Target="/xl/worksheets/sheet11.xml" Id="Rc1e390c50db342d2" /><Relationship Type="http://schemas.openxmlformats.org/officeDocument/2006/relationships/worksheet" Target="/xl/worksheets/sheet12.xml" Id="Rd937aeac94264f6b" /><Relationship Type="http://schemas.openxmlformats.org/officeDocument/2006/relationships/worksheet" Target="/xl/worksheets/sheet13.xml" Id="R567a59f21ea64aab" /><Relationship Type="http://schemas.openxmlformats.org/officeDocument/2006/relationships/worksheet" Target="/xl/worksheets/sheet14.xml" Id="R94faca50f0854d18" /><Relationship Type="http://schemas.openxmlformats.org/officeDocument/2006/relationships/worksheet" Target="/xl/worksheets/sheet15.xml" Id="R1bcd93e3079341e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51f76e6794411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ptos"/>
                <a:ea typeface="Aptos"/>
                <a:cs typeface="Aptos"/>
              </a:rPr>
              <a:t>Base, realizado e projeção mensal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ptos"/>
              <a:ea typeface="Aptos"/>
              <a:cs typeface="Aptos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Base ajustada</c:v>
          </c:tx>
          <c:marker>
            <c:symbol val="none"/>
          </c:marker>
          <c:cat>
            <c:strRef>
              <c:f>'Painel'!$A$13:$A$24</c:f>
              <c:strCache>
                <c:ptCount val="0"/>
              </c:strCache>
            </c:strRef>
          </c:cat>
          <c:val>
            <c:numRef>
              <c:f>'Painel'!$B$13:$B$24</c:f>
              <c:numCache>
                <c:formatCode>"R$" #,##0.00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Realizado ano-alvo</c:v>
          </c:tx>
          <c:marker>
            <c:symbol val="none"/>
          </c:marker>
          <c:cat>
            <c:strRef>
              <c:f>'Painel'!$A$13:$A$24</c:f>
              <c:strCache>
                <c:ptCount val="0"/>
              </c:strCache>
            </c:strRef>
          </c:cat>
          <c:val>
            <c:numRef>
              <c:f>'Painel'!$C$13:$C$24</c:f>
              <c:numCache>
                <c:formatCode>"R$" #,##0.00</c:formatCode>
                <c:ptCount val="0"/>
              </c:numCache>
            </c:numRef>
          </c:val>
          <c:smooth val="0"/>
        </c:ser>
        <c:ser>
          <c:idx val="2"/>
          <c:order val="2"/>
          <c:tx>
            <c:v>Projeção final</c:v>
          </c:tx>
          <c:marker>
            <c:symbol val="none"/>
          </c:marker>
          <c:cat>
            <c:strRef>
              <c:f>'Painel'!$A$13:$A$24</c:f>
              <c:strCache>
                <c:ptCount val="0"/>
              </c:strCache>
            </c:strRef>
          </c:cat>
          <c:val>
            <c:numRef>
              <c:f>'Painel'!$D$13:$D$24</c:f>
              <c:numCache>
                <c:formatCode>"R$" #,##0.00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ptos"/>
              <a:ea typeface="Aptos"/>
              <a:cs typeface="Aptos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11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51f76e679441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a04a77512884eb1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6" customHeight="1">
      <x:c r="A1" s="5" t="str">
        <x:v>Painel da estimativa de receita</x:v>
      </x:c>
      <x:c r="B1" s="5" t="str">
        <x:v>Painel da estimativa de receita</x:v>
      </x:c>
      <x:c r="C1" s="5" t="str">
        <x:v>Painel da estimativa de receita</x:v>
      </x:c>
      <x:c r="D1" s="5" t="str">
        <x:v>Painel da estimativa de receita</x:v>
      </x:c>
      <x:c r="E1" s="5" t="str">
        <x:v>Painel da estimativa de receita</x:v>
      </x:c>
      <x:c r="F1" s="5" t="str">
        <x:v>Painel da estimativa de receita</x:v>
      </x:c>
      <x:c r="G1" s="5" t="str">
        <x:v>Painel da estimativa de receita</x:v>
      </x:c>
      <x:c r="H1" s="5" t="str">
        <x:v>Painel da estimativa de receita</x:v>
      </x:c>
      <x:c r="I1" s="5" t="str">
        <x:v>Painel da estimativa de receita</x:v>
      </x:c>
      <x:c r="J1" s="5" t="str">
        <x:v>Painel da estimativa de receita</x:v>
      </x:c>
      <x:c r="K1" s="5" t="str">
        <x:v>Painel da estimativa de receita</x:v>
      </x:c>
      <x:c r="L1" s="5" t="str">
        <x:v>Painel da estimativa de receita</x:v>
      </x:c>
      <x:c r="M1" s="5" t="str">
        <x:v>Painel da estimativa de receita</x:v>
      </x:c>
      <x:c r="N1" s="5" t="str">
        <x:v>Painel da estimativa de receita</x:v>
      </x:c>
    </x:row>
    <x:row r="2" ht="36" customHeight="1">
      <x:c r="A2" s="5" t="str">
        <x:v>Painel da estimativa de receita</x:v>
      </x:c>
      <x:c r="B2" s="5" t="str">
        <x:v>Painel da estimativa de receita</x:v>
      </x:c>
      <x:c r="C2" s="5" t="str">
        <x:v>Painel da estimativa de receita</x:v>
      </x:c>
      <x:c r="D2" s="5" t="str">
        <x:v>Painel da estimativa de receita</x:v>
      </x:c>
      <x:c r="E2" s="5" t="str">
        <x:v>Painel da estimativa de receita</x:v>
      </x:c>
      <x:c r="F2" s="5" t="str">
        <x:v>Painel da estimativa de receita</x:v>
      </x:c>
      <x:c r="G2" s="5" t="str">
        <x:v>Painel da estimativa de receita</x:v>
      </x:c>
      <x:c r="H2" s="5" t="str">
        <x:v>Painel da estimativa de receita</x:v>
      </x:c>
      <x:c r="I2" s="5" t="str">
        <x:v>Painel da estimativa de receita</x:v>
      </x:c>
      <x:c r="J2" s="5" t="str">
        <x:v>Painel da estimativa de receita</x:v>
      </x:c>
      <x:c r="K2" s="5" t="str">
        <x:v>Painel da estimativa de receita</x:v>
      </x:c>
      <x:c r="L2" s="5" t="str">
        <x:v>Painel da estimativa de receita</x:v>
      </x:c>
      <x:c r="M2" s="5" t="str">
        <x:v>Painel da estimativa de receita</x:v>
      </x:c>
      <x:c r="N2" s="5" t="str">
        <x:v>Painel da estimativa de receita</x:v>
      </x:c>
    </x:row>
    <x:row r="3" ht="30" customHeight="1">
      <x:c r="A3" s="8" t="str">
        <x:v>Síntese executiva do caso ativo. Altere dados e premissas nas abas amarelas; valide antes de utilizar o resultado.</x:v>
      </x:c>
      <x:c r="B3" s="8" t="str">
        <x:v>Síntese executiva do caso ativo. Altere dados e premissas nas abas amarelas; valide antes de utilizar o resultado.</x:v>
      </x:c>
      <x:c r="C3" s="8" t="str">
        <x:v>Síntese executiva do caso ativo. Altere dados e premissas nas abas amarelas; valide antes de utilizar o resultado.</x:v>
      </x:c>
      <x:c r="D3" s="8" t="str">
        <x:v>Síntese executiva do caso ativo. Altere dados e premissas nas abas amarelas; valide antes de utilizar o resultado.</x:v>
      </x:c>
      <x:c r="E3" s="8" t="str">
        <x:v>Síntese executiva do caso ativo. Altere dados e premissas nas abas amarelas; valide antes de utilizar o resultado.</x:v>
      </x:c>
      <x:c r="F3" s="8" t="str">
        <x:v>Síntese executiva do caso ativo. Altere dados e premissas nas abas amarelas; valide antes de utilizar o resultado.</x:v>
      </x:c>
      <x:c r="G3" s="8" t="str">
        <x:v>Síntese executiva do caso ativo. Altere dados e premissas nas abas amarelas; valide antes de utilizar o resultado.</x:v>
      </x:c>
      <x:c r="H3" s="8" t="str">
        <x:v>Síntese executiva do caso ativo. Altere dados e premissas nas abas amarelas; valide antes de utilizar o resultado.</x:v>
      </x:c>
      <x:c r="I3" s="8" t="str">
        <x:v>Síntese executiva do caso ativo. Altere dados e premissas nas abas amarelas; valide antes de utilizar o resultado.</x:v>
      </x:c>
      <x:c r="J3" s="8" t="str">
        <x:v>Síntese executiva do caso ativo. Altere dados e premissas nas abas amarelas; valide antes de utilizar o resultado.</x:v>
      </x:c>
      <x:c r="K3" s="8" t="str">
        <x:v>Síntese executiva do caso ativo. Altere dados e premissas nas abas amarelas; valide antes de utilizar o resultado.</x:v>
      </x:c>
      <x:c r="L3" s="8" t="str">
        <x:v>Síntese executiva do caso ativo. Altere dados e premissas nas abas amarelas; valide antes de utilizar o resultado.</x:v>
      </x:c>
      <x:c r="M3" s="8" t="str">
        <x:v>Síntese executiva do caso ativo. Altere dados e premissas nas abas amarelas; valide antes de utilizar o resultado.</x:v>
      </x:c>
      <x:c r="N3" s="8" t="str">
        <x:v>Síntese executiva do caso ativo. Altere dados e premissas nas abas amarelas; valide antes de utilizar o resultado.</x:v>
      </x:c>
    </x:row>
    <x:row r="4">
      <x:c r="A4" s="63" t="str">
        <x:v>Modelo</x:v>
      </x:c>
      <x:c r="B4" s="63"/>
      <x:c r="C4" s="63"/>
      <x:c r="D4" s="63" t="str">
        <x:v>Receita</x:v>
      </x:c>
      <x:c r="E4" s="63"/>
      <x:c r="F4" s="63"/>
      <x:c r="G4" s="63"/>
      <x:c r="H4" s="63" t="str">
        <x:v>Ano</x:v>
      </x:c>
      <x:c r="I4" s="63"/>
      <x:c r="J4" s="63" t="str">
        <x:v>Status MMV</x:v>
      </x:c>
      <x:c r="K4" s="63"/>
      <x:c r="L4" s="63"/>
      <x:c r="M4" s="63"/>
      <x:c r="N4" s="63"/>
    </x:row>
    <x:row r="5">
      <x:c r="A5" s="68" t="str">
        <x:f>Premissas!B7</x:f>
        <x:v>MMV + incremental</x:v>
      </x:c>
      <x:c r="B5" s="68"/>
      <x:c r="C5" s="68"/>
      <x:c r="D5" s="68" t="str">
        <x:f>Premissas!B4</x:f>
        <x:v>Receita tributária municipal — caso didático</x:v>
      </x:c>
      <x:c r="E5" s="68"/>
      <x:c r="F5" s="68"/>
      <x:c r="G5" s="68"/>
      <x:c r="H5" s="68" t="n">
        <x:f>Premissas!B6</x:f>
        <x:v>2026</x:v>
      </x:c>
      <x:c r="I5" s="68"/>
      <x:c r="J5" s="68" t="str">
        <x:f>MMV!B28</x:f>
        <x:v>OK — total preservado</x:v>
      </x:c>
      <x:c r="K5" s="68"/>
      <x:c r="L5" s="68"/>
      <x:c r="M5" s="68"/>
      <x:c r="N5" s="68"/>
    </x:row>
    <x:row r="6">
      <x:c r="A6" s="68"/>
      <x:c r="B6" s="68"/>
      <x:c r="C6" s="68"/>
      <x:c r="D6" s="68"/>
      <x:c r="E6" s="68"/>
      <x:c r="F6" s="68"/>
      <x:c r="G6" s="68"/>
      <x:c r="H6" s="68"/>
      <x:c r="I6" s="68"/>
      <x:c r="J6" s="68"/>
      <x:c r="K6" s="68"/>
      <x:c r="L6" s="68"/>
      <x:c r="M6" s="68"/>
      <x:c r="N6" s="68"/>
    </x:row>
    <x:row r="7">
      <x:c r="A7" s="97"/>
      <x:c r="B7" s="97"/>
      <x:c r="C7" s="97"/>
      <x:c r="D7" s="97"/>
      <x:c r="E7" s="97"/>
      <x:c r="F7" s="97"/>
      <x:c r="G7" s="97"/>
      <x:c r="H7" s="97"/>
      <x:c r="I7" s="97"/>
      <x:c r="J7" s="97"/>
      <x:c r="K7" s="97"/>
      <x:c r="L7" s="97"/>
      <x:c r="M7" s="97"/>
      <x:c r="N7" s="97"/>
    </x:row>
    <x:row r="8">
      <x:c r="A8" s="70" t="str">
        <x:v>Projeção selecionada</x:v>
      </x:c>
      <x:c r="B8" s="70"/>
      <x:c r="C8" s="70"/>
      <x:c r="D8" s="70" t="str">
        <x:v>Base Ano -1</x:v>
      </x:c>
      <x:c r="E8" s="70"/>
      <x:c r="F8" s="70"/>
      <x:c r="G8" s="70" t="str">
        <x:v>Variação</x:v>
      </x:c>
      <x:c r="H8" s="70"/>
      <x:c r="I8" s="70"/>
      <x:c r="J8" s="70" t="str">
        <x:v>Realizado informado</x:v>
      </x:c>
      <x:c r="K8" s="70"/>
      <x:c r="L8" s="70" t="str">
        <x:v>Meses realizados</x:v>
      </x:c>
      <x:c r="M8" s="70"/>
      <x:c r="N8" s="70"/>
    </x:row>
    <x:row r="9">
      <x:c r="A9" s="76" t="n">
        <x:f>ROUND(Modelos!J20,2)</x:f>
        <x:v>6064191.12</x:v>
      </x:c>
      <x:c r="B9" s="75"/>
      <x:c r="C9" s="75"/>
      <x:c r="D9" s="76" t="n">
        <x:f>ROUND(Modelos!C20,2)</x:f>
        <x:v>5420000</x:v>
      </x:c>
      <x:c r="E9" s="75"/>
      <x:c r="F9" s="75"/>
      <x:c r="G9" s="77" t="n">
        <x:f>IF(Modelos!C20=0,0,Modelos!J20/Modelos!C20-1)</x:f>
        <x:v>0.11885445018450169</x:v>
      </x:c>
      <x:c r="H9" s="75"/>
      <x:c r="I9" s="75"/>
      <x:c r="J9" s="76" t="n">
        <x:f>SUM(Dados!G8:G19)</x:f>
        <x:v>2590000</x:v>
      </x:c>
      <x:c r="K9" s="75"/>
      <x:c r="L9" s="75" t="n">
        <x:f>COUNT(Dados!G8:G19)</x:f>
        <x:v>3</x:v>
      </x:c>
      <x:c r="M9" s="75"/>
      <x:c r="N9" s="75"/>
    </x:row>
    <x:row r="10">
      <x:c r="A10" s="75"/>
      <x:c r="B10" s="75"/>
      <x:c r="C10" s="75"/>
      <x:c r="D10" s="75"/>
      <x:c r="E10" s="75"/>
      <x:c r="F10" s="75"/>
      <x:c r="G10" s="75"/>
      <x:c r="H10" s="75"/>
      <x:c r="I10" s="75"/>
      <x:c r="J10" s="75"/>
      <x:c r="K10" s="75"/>
      <x:c r="L10" s="75"/>
      <x:c r="M10" s="75"/>
      <x:c r="N10" s="75"/>
    </x:row>
    <x:row r="11">
      <x:c r="A11" s="97"/>
      <x:c r="B11" s="97"/>
      <x:c r="C11" s="97"/>
      <x:c r="D11" s="97"/>
      <x:c r="E11" s="97"/>
      <x:c r="F11" s="97"/>
      <x:c r="G11" s="97"/>
      <x:c r="H11" s="97"/>
      <x:c r="I11" s="97"/>
      <x:c r="J11" s="97"/>
      <x:c r="K11" s="97"/>
      <x:c r="L11" s="97"/>
      <x:c r="M11" s="97"/>
      <x:c r="N11" s="97"/>
    </x:row>
    <x:row r="12">
      <x:c r="A12" s="26" t="str">
        <x:v>Mês</x:v>
      </x:c>
      <x:c r="B12" s="26" t="str">
        <x:v>Base ajustada</x:v>
      </x:c>
      <x:c r="C12" s="26" t="str">
        <x:v>Realizado ano-alvo</x:v>
      </x:c>
      <x:c r="D12" s="26" t="str">
        <x:v>Projeção final</x:v>
      </x:c>
      <x:c r="E12" s="26" t="str">
        <x:v>Diferença vs. base</x:v>
      </x:c>
      <x:c r="F12" s="97"/>
      <x:c r="G12" s="97"/>
      <x:c r="H12" s="97"/>
      <x:c r="I12" s="97"/>
      <x:c r="J12" s="97"/>
      <x:c r="K12" s="97"/>
      <x:c r="L12" s="97"/>
      <x:c r="M12" s="97"/>
      <x:c r="N12" s="97"/>
    </x:row>
    <x:row r="13">
      <x:c r="A13" s="98" t="str">
        <x:f>Modelos!A8</x:f>
        <x:v>jan</x:v>
      </x:c>
      <x:c r="B13" s="99" t="n">
        <x:f>Modelos!C8</x:f>
        <x:v>460000</x:v>
      </x:c>
      <x:c r="C13" s="99" t="n">
        <x:f>IF(Modelos!B8="","",Modelos!B8)</x:f>
        <x:v>490000</x:v>
      </x:c>
      <x:c r="D13" s="99" t="n">
        <x:f>ROUND(Modelos!J8,2)</x:f>
        <x:v>490000</x:v>
      </x:c>
      <x:c r="E13" s="99" t="n">
        <x:f>ROUND(D13-B13,2)</x:f>
        <x:v>30000</x:v>
      </x:c>
      <x:c r="F13" s="97"/>
      <x:c r="G13" s="97"/>
      <x:c r="H13" s="97"/>
      <x:c r="I13" s="97"/>
      <x:c r="J13" s="97"/>
      <x:c r="K13" s="97"/>
      <x:c r="L13" s="97"/>
      <x:c r="M13" s="97"/>
      <x:c r="N13" s="97"/>
    </x:row>
    <x:row r="14">
      <x:c r="A14" s="98" t="str">
        <x:f>Modelos!A9</x:f>
        <x:v>fev</x:v>
      </x:c>
      <x:c r="B14" s="99" t="n">
        <x:f>Modelos!C9</x:f>
        <x:v>690000</x:v>
      </x:c>
      <x:c r="C14" s="99" t="n">
        <x:f>IF(Modelos!B9="","",Modelos!B9)</x:f>
        <x:v>710000</x:v>
      </x:c>
      <x:c r="D14" s="99" t="n">
        <x:f>ROUND(Modelos!J9,2)</x:f>
        <x:v>710000</x:v>
      </x:c>
      <x:c r="E14" s="99" t="n">
        <x:f>ROUND(D14-B14,2)</x:f>
        <x:v>20000</x:v>
      </x:c>
      <x:c r="F14" s="97"/>
      <x:c r="G14" s="97"/>
      <x:c r="H14" s="97"/>
      <x:c r="I14" s="97"/>
      <x:c r="J14" s="97"/>
      <x:c r="K14" s="97"/>
      <x:c r="L14" s="97"/>
      <x:c r="M14" s="97"/>
      <x:c r="N14" s="97"/>
    </x:row>
    <x:row r="15">
      <x:c r="A15" s="98" t="str">
        <x:f>Modelos!A10</x:f>
        <x:v>mar</x:v>
      </x:c>
      <x:c r="B15" s="99" t="n">
        <x:f>Modelos!C10</x:f>
        <x:v>1320000</x:v>
      </x:c>
      <x:c r="C15" s="99" t="n">
        <x:f>IF(Modelos!B10="","",Modelos!B10)</x:f>
        <x:v>1390000</x:v>
      </x:c>
      <x:c r="D15" s="99" t="n">
        <x:f>ROUND(Modelos!J10,2)</x:f>
        <x:v>1390000</x:v>
      </x:c>
      <x:c r="E15" s="99" t="n">
        <x:f>ROUND(D15-B15,2)</x:f>
        <x:v>70000</x:v>
      </x:c>
      <x:c r="F15" s="97"/>
      <x:c r="G15" s="97"/>
      <x:c r="H15" s="97"/>
      <x:c r="I15" s="97"/>
      <x:c r="J15" s="97"/>
      <x:c r="K15" s="97"/>
      <x:c r="L15" s="97"/>
      <x:c r="M15" s="97"/>
      <x:c r="N15" s="97"/>
    </x:row>
    <x:row r="16">
      <x:c r="A16" s="98" t="str">
        <x:f>Modelos!A11</x:f>
        <x:v>abr</x:v>
      </x:c>
      <x:c r="B16" s="99" t="n">
        <x:f>Modelos!C11</x:f>
        <x:v>930000</x:v>
      </x:c>
      <x:c r="C16" s="99" t="str">
        <x:f>IF(Modelos!B11="","",Modelos!B11)</x:f>
      </x:c>
      <x:c r="D16" s="99" t="n">
        <x:f>ROUND(Modelos!J11,2)</x:f>
        <x:v>892417.55</x:v>
      </x:c>
      <x:c r="E16" s="99" t="n">
        <x:f>ROUND(D16-B16,2)</x:f>
        <x:v>-37582.45</x:v>
      </x:c>
      <x:c r="F16" s="97"/>
      <x:c r="G16" s="97"/>
      <x:c r="H16" s="97"/>
      <x:c r="I16" s="97"/>
      <x:c r="J16" s="97"/>
      <x:c r="K16" s="97"/>
      <x:c r="L16" s="97"/>
      <x:c r="M16" s="97"/>
      <x:c r="N16" s="97"/>
    </x:row>
    <x:row r="17">
      <x:c r="A17" s="98" t="str">
        <x:f>Modelos!A12</x:f>
        <x:v>mai</x:v>
      </x:c>
      <x:c r="B17" s="99" t="n">
        <x:f>Modelos!C12</x:f>
        <x:v>350000</x:v>
      </x:c>
      <x:c r="C17" s="99" t="str">
        <x:f>IF(Modelos!B12="","",Modelos!B12)</x:f>
      </x:c>
      <x:c r="D17" s="99" t="n">
        <x:f>ROUND(Modelos!J12,2)</x:f>
        <x:v>335856.07</x:v>
      </x:c>
      <x:c r="E17" s="99" t="n">
        <x:f>ROUND(D17-B17,2)</x:f>
        <x:v>-14143.93</x:v>
      </x:c>
      <x:c r="F17" s="97"/>
      <x:c r="G17" s="97"/>
      <x:c r="H17" s="97"/>
      <x:c r="I17" s="97"/>
      <x:c r="J17" s="97"/>
      <x:c r="K17" s="97"/>
      <x:c r="L17" s="97"/>
      <x:c r="M17" s="97"/>
      <x:c r="N17" s="97"/>
    </x:row>
    <x:row r="18">
      <x:c r="A18" s="98" t="str">
        <x:f>Modelos!A13</x:f>
        <x:v>jun</x:v>
      </x:c>
      <x:c r="B18" s="99" t="n">
        <x:f>Modelos!C13</x:f>
        <x:v>265000</x:v>
      </x:c>
      <x:c r="C18" s="99" t="str">
        <x:f>IF(Modelos!B13="","",Modelos!B13)</x:f>
      </x:c>
      <x:c r="D18" s="99" t="n">
        <x:f>ROUND(Modelos!J13,2)</x:f>
        <x:v>254291.02</x:v>
      </x:c>
      <x:c r="E18" s="99" t="n">
        <x:f>ROUND(D18-B18,2)</x:f>
        <x:v>-10708.98</x:v>
      </x:c>
      <x:c r="F18" s="97"/>
      <x:c r="G18" s="97"/>
      <x:c r="H18" s="97"/>
      <x:c r="I18" s="97"/>
      <x:c r="J18" s="97"/>
      <x:c r="K18" s="97"/>
      <x:c r="L18" s="97"/>
      <x:c r="M18" s="97"/>
      <x:c r="N18" s="97"/>
    </x:row>
    <x:row r="19">
      <x:c r="A19" s="98" t="str">
        <x:f>Modelos!A14</x:f>
        <x:v>jul</x:v>
      </x:c>
      <x:c r="B19" s="99" t="n">
        <x:f>Modelos!C14</x:f>
        <x:v>255000</x:v>
      </x:c>
      <x:c r="C19" s="99" t="str">
        <x:f>IF(Modelos!B14="","",Modelos!B14)</x:f>
      </x:c>
      <x:c r="D19" s="99" t="n">
        <x:f>ROUND(Modelos!J14,2)</x:f>
        <x:v>256929.89</x:v>
      </x:c>
      <x:c r="E19" s="99" t="n">
        <x:f>ROUND(D19-B19,2)</x:f>
        <x:v>1929.89</x:v>
      </x:c>
      <x:c r="F19" s="97"/>
      <x:c r="G19" s="97"/>
      <x:c r="H19" s="97"/>
      <x:c r="I19" s="97"/>
      <x:c r="J19" s="97"/>
      <x:c r="K19" s="97"/>
      <x:c r="L19" s="97"/>
      <x:c r="M19" s="97"/>
      <x:c r="N19" s="97"/>
    </x:row>
    <x:row r="20">
      <x:c r="A20" s="98" t="str">
        <x:f>Modelos!A15</x:f>
        <x:v>ago</x:v>
      </x:c>
      <x:c r="B20" s="99" t="n">
        <x:f>Modelos!C15</x:f>
        <x:v>275000</x:v>
      </x:c>
      <x:c r="C20" s="99" t="str">
        <x:f>IF(Modelos!B15="","",Modelos!B15)</x:f>
      </x:c>
      <x:c r="D20" s="99" t="n">
        <x:f>ROUND(Modelos!J15,2)</x:f>
        <x:v>277081.26</x:v>
      </x:c>
      <x:c r="E20" s="99" t="n">
        <x:f>ROUND(D20-B20,2)</x:f>
        <x:v>2081.26</x:v>
      </x:c>
      <x:c r="F20" s="97"/>
      <x:c r="G20" s="97"/>
      <x:c r="H20" s="97"/>
      <x:c r="I20" s="97"/>
      <x:c r="J20" s="97"/>
      <x:c r="K20" s="97"/>
      <x:c r="L20" s="97"/>
      <x:c r="M20" s="97"/>
      <x:c r="N20" s="97"/>
    </x:row>
    <x:row r="21">
      <x:c r="A21" s="98" t="str">
        <x:f>Modelos!A16</x:f>
        <x:v>set</x:v>
      </x:c>
      <x:c r="B21" s="99" t="n">
        <x:f>Modelos!C16</x:f>
        <x:v>-120000</x:v>
      </x:c>
      <x:c r="C21" s="99" t="str">
        <x:f>IF(Modelos!B16="","",Modelos!B16)</x:f>
      </x:c>
      <x:c r="D21" s="99" t="n">
        <x:f>ROUND(Modelos!J16,2)</x:f>
        <x:v>455084.97</x:v>
      </x:c>
      <x:c r="E21" s="99" t="n">
        <x:f>ROUND(D21-B21,2)</x:f>
        <x:v>575084.97</x:v>
      </x:c>
      <x:c r="F21" s="97"/>
      <x:c r="G21" s="97"/>
      <x:c r="H21" s="97"/>
      <x:c r="I21" s="97"/>
      <x:c r="J21" s="97"/>
      <x:c r="K21" s="97"/>
      <x:c r="L21" s="97"/>
      <x:c r="M21" s="97"/>
      <x:c r="N21" s="97"/>
    </x:row>
    <x:row r="22">
      <x:c r="A22" s="98" t="str">
        <x:f>Modelos!A17</x:f>
        <x:v>out</x:v>
      </x:c>
      <x:c r="B22" s="99" t="n">
        <x:f>Modelos!C17</x:f>
        <x:v>295000</x:v>
      </x:c>
      <x:c r="C22" s="99" t="str">
        <x:f>IF(Modelos!B17="","",Modelos!B17)</x:f>
      </x:c>
      <x:c r="D22" s="99" t="n">
        <x:f>ROUND(Modelos!J17,2)</x:f>
        <x:v>297232.62</x:v>
      </x:c>
      <x:c r="E22" s="99" t="n">
        <x:f>ROUND(D22-B22,2)</x:f>
        <x:v>2232.62</x:v>
      </x:c>
      <x:c r="F22" s="97"/>
      <x:c r="G22" s="97"/>
      <x:c r="H22" s="97"/>
      <x:c r="I22" s="97"/>
      <x:c r="J22" s="97"/>
      <x:c r="K22" s="97"/>
      <x:c r="L22" s="97"/>
      <x:c r="M22" s="97"/>
      <x:c r="N22" s="97"/>
    </x:row>
    <x:row r="23">
      <x:c r="A23" s="98" t="str">
        <x:f>Modelos!A18</x:f>
        <x:v>nov</x:v>
      </x:c>
      <x:c r="B23" s="99" t="n">
        <x:f>Modelos!C18</x:f>
        <x:v>330000</x:v>
      </x:c>
      <x:c r="C23" s="99" t="str">
        <x:f>IF(Modelos!B18="","",Modelos!B18)</x:f>
      </x:c>
      <x:c r="D23" s="99" t="n">
        <x:f>ROUND(Modelos!J18,2)</x:f>
        <x:v>332497.51</x:v>
      </x:c>
      <x:c r="E23" s="99" t="n">
        <x:f>ROUND(D23-B23,2)</x:f>
        <x:v>2497.51</x:v>
      </x:c>
      <x:c r="F23" s="97"/>
      <x:c r="G23" s="97"/>
      <x:c r="H23" s="97"/>
      <x:c r="I23" s="97"/>
      <x:c r="J23" s="97"/>
      <x:c r="K23" s="97"/>
      <x:c r="L23" s="97"/>
      <x:c r="M23" s="97"/>
      <x:c r="N23" s="97"/>
    </x:row>
    <x:row r="24">
      <x:c r="A24" s="98" t="str">
        <x:f>Modelos!A19</x:f>
        <x:v>dez</x:v>
      </x:c>
      <x:c r="B24" s="99" t="n">
        <x:f>Modelos!C19</x:f>
        <x:v>370000</x:v>
      </x:c>
      <x:c r="C24" s="99" t="str">
        <x:f>IF(Modelos!B19="","",Modelos!B19)</x:f>
      </x:c>
      <x:c r="D24" s="99" t="n">
        <x:f>ROUND(Modelos!J19,2)</x:f>
        <x:v>372800.23</x:v>
      </x:c>
      <x:c r="E24" s="99" t="n">
        <x:f>ROUND(D24-B24,2)</x:f>
        <x:v>2800.23</x:v>
      </x:c>
      <x:c r="F24" s="97"/>
      <x:c r="G24" s="97"/>
      <x:c r="H24" s="97"/>
      <x:c r="I24" s="97"/>
      <x:c r="J24" s="97"/>
      <x:c r="K24" s="97"/>
      <x:c r="L24" s="97"/>
      <x:c r="M24" s="97"/>
      <x:c r="N24" s="97"/>
    </x:row>
    <x:row r="25">
      <x:c r="A25" s="39" t="str">
        <x:v>Total</x:v>
      </x:c>
      <x:c r="B25" s="44" t="n">
        <x:f>SUM(B13:B24)</x:f>
        <x:v>5420000</x:v>
      </x:c>
      <x:c r="C25" s="44" t="n">
        <x:f>SUM(C13:C24)</x:f>
        <x:v>2590000</x:v>
      </x:c>
      <x:c r="D25" s="44" t="n">
        <x:f>SUM(D13:D24)</x:f>
        <x:v>6064191.119999999</x:v>
      </x:c>
      <x:c r="E25" s="44" t="n">
        <x:f>SUM(E13:E24)</x:f>
        <x:v>644191.12</x:v>
      </x:c>
      <x:c r="F25" s="97"/>
      <x:c r="G25" s="97"/>
      <x:c r="H25" s="97"/>
      <x:c r="I25" s="97"/>
      <x:c r="J25" s="97"/>
      <x:c r="K25" s="97"/>
      <x:c r="L25" s="97"/>
      <x:c r="M25" s="97"/>
      <x:c r="N25" s="97"/>
    </x:row>
    <x:row r="26">
      <x:c r="A26" s="97"/>
      <x:c r="B26" s="97"/>
      <x:c r="C26" s="97"/>
      <x:c r="D26" s="97"/>
      <x:c r="E26" s="97"/>
      <x:c r="F26" s="97"/>
      <x:c r="G26" s="97"/>
      <x:c r="H26" s="97"/>
      <x:c r="I26" s="97"/>
      <x:c r="J26" s="97"/>
      <x:c r="K26" s="97"/>
      <x:c r="L26" s="97"/>
      <x:c r="M26" s="97"/>
      <x:c r="N26" s="97"/>
    </x:row>
    <x:row r="27">
      <x:c r="A27" s="97"/>
      <x:c r="B27" s="97"/>
      <x:c r="C27" s="97"/>
      <x:c r="D27" s="97"/>
      <x:c r="E27" s="97"/>
      <x:c r="F27" s="97"/>
      <x:c r="G27" s="97"/>
      <x:c r="H27" s="97"/>
      <x:c r="I27" s="97"/>
      <x:c r="J27" s="97"/>
      <x:c r="K27" s="97"/>
      <x:c r="L27" s="97"/>
      <x:c r="M27" s="97"/>
      <x:c r="N27" s="97"/>
    </x:row>
    <x:row r="28">
      <x:c r="A28" s="81" t="str">
        <x:v>Decisão técnica: antes de aprovar, confira Auditoria, explique o modelo escolhido e anexe as fontes dos índices. Se a base contiver valor negativo, o alerta não obriga o MMV: ele exige investigar a causa e documentar a alternativa adotada.</x:v>
      </x:c>
      <x:c r="B28" s="81"/>
      <x:c r="C28" s="81"/>
      <x:c r="D28" s="81"/>
      <x:c r="E28" s="81"/>
      <x:c r="F28" s="81"/>
      <x:c r="G28" s="81"/>
      <x:c r="H28" s="81"/>
      <x:c r="I28" s="81"/>
      <x:c r="J28" s="81"/>
      <x:c r="K28" s="81"/>
      <x:c r="L28" s="81"/>
      <x:c r="M28" s="81"/>
      <x:c r="N28" s="81"/>
    </x:row>
    <x:row r="29">
      <x:c r="A29" s="81"/>
      <x:c r="B29" s="81"/>
      <x:c r="C29" s="81"/>
      <x:c r="D29" s="81"/>
      <x:c r="E29" s="81"/>
      <x:c r="F29" s="81"/>
      <x:c r="G29" s="81"/>
      <x:c r="H29" s="81"/>
      <x:c r="I29" s="81"/>
      <x:c r="J29" s="81"/>
      <x:c r="K29" s="81"/>
      <x:c r="L29" s="81"/>
      <x:c r="M29" s="81"/>
      <x:c r="N29" s="81"/>
    </x:row>
    <x:row r="30">
      <x:c r="A30" s="81"/>
      <x:c r="B30" s="81"/>
      <x:c r="C30" s="81"/>
      <x:c r="D30" s="81"/>
      <x:c r="E30" s="81"/>
      <x:c r="F30" s="81"/>
      <x:c r="G30" s="81"/>
      <x:c r="H30" s="81"/>
      <x:c r="I30" s="81"/>
      <x:c r="J30" s="81"/>
      <x:c r="K30" s="81"/>
      <x:c r="L30" s="81"/>
      <x:c r="M30" s="81"/>
      <x:c r="N30" s="81"/>
    </x:row>
    <x:row r="31">
      <x:c r="A31" s="81"/>
      <x:c r="B31" s="81"/>
      <x:c r="C31" s="81"/>
      <x:c r="D31" s="81"/>
      <x:c r="E31" s="81"/>
      <x:c r="F31" s="81"/>
      <x:c r="G31" s="81"/>
      <x:c r="H31" s="81"/>
      <x:c r="I31" s="81"/>
      <x:c r="J31" s="81"/>
      <x:c r="K31" s="81"/>
      <x:c r="L31" s="81"/>
      <x:c r="M31" s="81"/>
      <x:c r="N31" s="81"/>
    </x:row>
  </x:sheetData>
  <x:mergeCells>
    <x:mergeCell ref="A1:N2"/>
    <x:mergeCell ref="A3:N3"/>
    <x:mergeCell ref="A5:C6"/>
    <x:mergeCell ref="D5:G6"/>
    <x:mergeCell ref="H5:I6"/>
    <x:mergeCell ref="J5:N6"/>
    <x:mergeCell ref="A9:C10"/>
    <x:mergeCell ref="D9:F10"/>
    <x:mergeCell ref="G9:I10"/>
    <x:mergeCell ref="J9:K10"/>
    <x:mergeCell ref="L9:N10"/>
    <x:mergeCell ref="A28:N31"/>
  </x:mergeCells>
  <x:pageMargins left="0.7" right="0.7" top="0.75" bottom="0.75" header="0.3" footer="0.3"/>
  <x:drawing xmlns:r="http://schemas.openxmlformats.org/officeDocument/2006/relationships" r:id="R4a04a77512884eb1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33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6" customHeight="1">
      <x:c r="A1" s="5" t="str">
        <x:v>Módulo 05 — Projeção das Receitas Orçamentárias</x:v>
      </x:c>
      <x:c r="B1" s="5" t="str">
        <x:v>Módulo 05 — Projeção das Receitas Orçamentárias</x:v>
      </x:c>
      <x:c r="C1" s="5" t="str">
        <x:v>Módulo 05 — Projeção das Receitas Orçamentárias</x:v>
      </x:c>
      <x:c r="D1" s="5" t="str">
        <x:v>Módulo 05 — Projeção das Receitas Orçamentárias</x:v>
      </x:c>
      <x:c r="E1" s="5" t="str">
        <x:v>Módulo 05 — Projeção das Receitas Orçamentárias</x:v>
      </x:c>
      <x:c r="F1" s="5" t="str">
        <x:v>Módulo 05 — Projeção das Receitas Orçamentárias</x:v>
      </x:c>
      <x:c r="G1" s="5" t="str">
        <x:v>Módulo 05 — Projeção das Receitas Orçamentárias</x:v>
      </x:c>
      <x:c r="H1" s="5" t="str">
        <x:v>Módulo 05 — Projeção das Receitas Orçamentárias</x:v>
      </x:c>
    </x:row>
    <x:row r="2" ht="36" customHeight="1">
      <x:c r="A2" s="5" t="str">
        <x:v>Módulo 05 — Projeção das Receitas Orçamentárias</x:v>
      </x:c>
      <x:c r="B2" s="5" t="str">
        <x:v>Módulo 05 — Projeção das Receitas Orçamentárias</x:v>
      </x:c>
      <x:c r="C2" s="5" t="str">
        <x:v>Módulo 05 — Projeção das Receitas Orçamentárias</x:v>
      </x:c>
      <x:c r="D2" s="5" t="str">
        <x:v>Módulo 05 — Projeção das Receitas Orçamentárias</x:v>
      </x:c>
      <x:c r="E2" s="5" t="str">
        <x:v>Módulo 05 — Projeção das Receitas Orçamentárias</x:v>
      </x:c>
      <x:c r="F2" s="5" t="str">
        <x:v>Módulo 05 — Projeção das Receitas Orçamentárias</x:v>
      </x:c>
      <x:c r="G2" s="5" t="str">
        <x:v>Módulo 05 — Projeção das Receitas Orçamentárias</x:v>
      </x:c>
      <x:c r="H2" s="5" t="str">
        <x:v>Módulo 05 — Projeção das Receitas Orçamentárias</x:v>
      </x:c>
    </x:row>
    <x:row r="3" ht="30" customHeight="1">
      <x:c r="A3" s="8" t="str">
        <x:v>Calculadora didática baseada nos itens 02.01.03.03 e 02.01.03.04 do MDF, 15ª edição.</x:v>
      </x:c>
      <x:c r="B3" s="8" t="str">
        <x:v>Calculadora didática baseada nos itens 02.01.03.03 e 02.01.03.04 do MDF, 15ª edição.</x:v>
      </x:c>
      <x:c r="C3" s="8" t="str">
        <x:v>Calculadora didática baseada nos itens 02.01.03.03 e 02.01.03.04 do MDF, 15ª edição.</x:v>
      </x:c>
      <x:c r="D3" s="8" t="str">
        <x:v>Calculadora didática baseada nos itens 02.01.03.03 e 02.01.03.04 do MDF, 15ª edição.</x:v>
      </x:c>
      <x:c r="E3" s="8" t="str">
        <x:v>Calculadora didática baseada nos itens 02.01.03.03 e 02.01.03.04 do MDF, 15ª edição.</x:v>
      </x:c>
      <x:c r="F3" s="8" t="str">
        <x:v>Calculadora didática baseada nos itens 02.01.03.03 e 02.01.03.04 do MDF, 15ª edição.</x:v>
      </x:c>
      <x:c r="G3" s="8" t="str">
        <x:v>Calculadora didática baseada nos itens 02.01.03.03 e 02.01.03.04 do MDF, 15ª edição.</x:v>
      </x:c>
      <x:c r="H3" s="8" t="str">
        <x:v>Calculadora didática baseada nos itens 02.01.03.03 e 02.01.03.04 do MDF, 15ª edição.</x:v>
      </x:c>
    </x:row>
    <x:row r="4">
      <x:c r="A4" s="97"/>
      <x:c r="B4" s="97"/>
      <x:c r="C4" s="97"/>
      <x:c r="D4" s="97"/>
      <x:c r="E4" s="97"/>
      <x:c r="F4" s="97"/>
      <x:c r="G4" s="97"/>
      <x:c r="H4" s="97"/>
    </x:row>
    <x:row r="5" ht="24" customHeight="1">
      <x:c r="A5" s="14" t="str">
        <x:v>Como usar</x:v>
      </x:c>
      <x:c r="B5" s="15" t="str">
        <x:v>Como usar</x:v>
      </x:c>
      <x:c r="C5" s="15" t="str">
        <x:v>Como usar</x:v>
      </x:c>
      <x:c r="D5" s="15" t="str">
        <x:v>Como usar</x:v>
      </x:c>
      <x:c r="E5" s="15" t="str">
        <x:v>Como usar</x:v>
      </x:c>
      <x:c r="F5" s="15" t="str">
        <x:v>Como usar</x:v>
      </x:c>
      <x:c r="G5" s="15" t="str">
        <x:v>Como usar</x:v>
      </x:c>
      <x:c r="H5" s="16" t="str">
        <x:v>Como usar</x:v>
      </x:c>
    </x:row>
    <x:row r="6">
      <x:c r="A6" s="100" t="str">
        <x:v>1) substitua os valores da aba Dados; 2) registre os fatores e suas fontes em Premissas; 3) compare os cinco resultados em Modelos; 4) valide a metodologia em Conformidade; 5) confira natureza e fonte; 6) simule o impacto fiscal; 7) responda cada item em Demandas_CEAT; 8) consolide o relatório. Células amarelas são destinadas a entrada ou resposta. Dados e valores iniciais são exclusivamente didáticos.</x:v>
      </x:c>
      <x:c r="B6" s="100"/>
      <x:c r="C6" s="100"/>
      <x:c r="D6" s="100"/>
      <x:c r="E6" s="100"/>
      <x:c r="F6" s="100"/>
      <x:c r="G6" s="100"/>
      <x:c r="H6" s="100"/>
    </x:row>
    <x:row r="7">
      <x:c r="A7" s="100"/>
      <x:c r="B7" s="100"/>
      <x:c r="C7" s="100"/>
      <x:c r="D7" s="100"/>
      <x:c r="E7" s="100"/>
      <x:c r="F7" s="100"/>
      <x:c r="G7" s="100"/>
      <x:c r="H7" s="100"/>
    </x:row>
    <x:row r="8">
      <x:c r="A8" s="100"/>
      <x:c r="B8" s="100"/>
      <x:c r="C8" s="100"/>
      <x:c r="D8" s="100"/>
      <x:c r="E8" s="100"/>
      <x:c r="F8" s="100"/>
      <x:c r="G8" s="100"/>
      <x:c r="H8" s="100"/>
    </x:row>
    <x:row r="9">
      <x:c r="A9" s="97"/>
      <x:c r="B9" s="97"/>
      <x:c r="C9" s="97"/>
      <x:c r="D9" s="97"/>
      <x:c r="E9" s="97"/>
      <x:c r="F9" s="97"/>
      <x:c r="G9" s="97"/>
      <x:c r="H9" s="97"/>
    </x:row>
    <x:row r="10" ht="24" customHeight="1">
      <x:c r="A10" s="14" t="str">
        <x:v>Mapa dos modelos do MDF</x:v>
      </x:c>
      <x:c r="B10" s="15" t="str">
        <x:v>Mapa dos modelos do MDF</x:v>
      </x:c>
      <x:c r="C10" s="15" t="str">
        <x:v>Mapa dos modelos do MDF</x:v>
      </x:c>
      <x:c r="D10" s="15" t="str">
        <x:v>Mapa dos modelos do MDF</x:v>
      </x:c>
      <x:c r="E10" s="15" t="str">
        <x:v>Mapa dos modelos do MDF</x:v>
      </x:c>
      <x:c r="F10" s="15" t="str">
        <x:v>Mapa dos modelos do MDF</x:v>
      </x:c>
      <x:c r="G10" s="15" t="str">
        <x:v>Mapa dos modelos do MDF</x:v>
      </x:c>
      <x:c r="H10" s="16" t="str">
        <x:v>Mapa dos modelos do MDF</x:v>
      </x:c>
    </x:row>
    <x:row r="11">
      <x:c r="A11" s="26" t="str">
        <x:v>Modelo</x:v>
      </x:c>
      <x:c r="B11" s="26" t="str">
        <x:v>Use quando</x:v>
      </x:c>
      <x:c r="C11" s="26" t="str">
        <x:v>Base</x:v>
      </x:c>
      <x:c r="D11" s="26" t="str">
        <x:v>Cálculo operacional</x:v>
      </x:c>
      <x:c r="E11" s="26" t="str">
        <x:v>Ponto forte</x:v>
      </x:c>
      <x:c r="F11" s="26" t="str">
        <x:v>Risco principal</x:v>
      </x:c>
      <x:c r="G11" s="26" t="str">
        <x:v>Atividade</x:v>
      </x:c>
      <x:c r="H11" s="26" t="str">
        <x:v>Saída</x:v>
      </x:c>
    </x:row>
    <x:row r="12" ht="48" customHeight="1">
      <x:c r="A12" s="101" t="str">
        <x:v>Sazonal a(t-12)</x:v>
      </x:c>
      <x:c r="B12" s="101" t="str">
        <x:v>Há concentração recorrente em meses específicos</x:v>
      </x:c>
      <x:c r="C12" s="101" t="str">
        <x:v>Mesmo mês do ano anterior</x:v>
      </x:c>
      <x:c r="D12" s="101" t="str">
        <x:v>Base mensal × preço × quantidade × legislação</x:v>
      </x:c>
      <x:c r="E12" s="101" t="str">
        <x:v>Preserva a sazonalidade</x:v>
      </x:c>
      <x:c r="F12" s="101" t="str">
        <x:v>Replicar evento atípico</x:v>
      </x:c>
      <x:c r="G12" s="101" t="str">
        <x:v>2</x:v>
      </x:c>
      <x:c r="H12" s="101" t="str">
        <x:v>Projeção mensal</x:v>
      </x:c>
    </x:row>
    <x:row r="13" ht="48" customHeight="1">
      <x:c r="A13" s="101" t="str">
        <x:v>Média (t-1)</x:v>
      </x:c>
      <x:c r="B13" s="101" t="str">
        <x:v>A série é estável ou o total anual é estável apesar da irregularidade mensal</x:v>
      </x:c>
      <x:c r="C13" s="101" t="str">
        <x:v>Média mensal do ano anterior</x:v>
      </x:c>
      <x:c r="D13" s="101" t="str">
        <x:v>Média mensal × fatores</x:v>
      </x:c>
      <x:c r="E13" s="101" t="str">
        <x:v>Simplicidade</x:v>
      </x:c>
      <x:c r="F13" s="101" t="str">
        <x:v>Apagar sazonalidade/tendência</x:v>
      </x:c>
      <x:c r="G13" s="101" t="str">
        <x:v>3</x:v>
      </x:c>
      <x:c r="H13" s="101" t="str">
        <x:v>Parcela mensal uniforme</x:v>
      </x:c>
    </x:row>
    <x:row r="14" ht="48" customHeight="1">
      <x:c r="A14" s="101" t="str">
        <x:v>Média Ajustada</x:v>
      </x:c>
      <x:c r="B14" s="101" t="str">
        <x:v>O exercício corrente mudou de patamar ou a receita é nova</x:v>
      </x:c>
      <x:c r="C14" s="101" t="str">
        <x:v>Média dos meses realizados</x:v>
      </x:c>
      <x:c r="D14" s="101" t="str">
        <x:v>Realizado + média corrente corrigida para os meses faltantes</x:v>
      </x:c>
      <x:c r="E14" s="101" t="str">
        <x:v>Reestima o próprio exercício</x:v>
      </x:c>
      <x:c r="F14" s="101" t="str">
        <x:v>Poucos meses ou choque temporário</x:v>
      </x:c>
      <x:c r="G14" s="101" t="str">
        <x:v>4</x:v>
      </x:c>
      <x:c r="H14" s="101" t="str">
        <x:v>Reestimativa anual</x:v>
      </x:c>
    </x:row>
    <x:row r="15" ht="48" customHeight="1">
      <x:c r="A15" s="101" t="str">
        <x:v>Média Móvel</x:v>
      </x:c>
      <x:c r="B15" s="101" t="str">
        <x:v>Busca-se suavizar ruídos e acompanhar tendência</x:v>
      </x:c>
      <x:c r="C15" s="101" t="str">
        <x:v>Últimas 3, 6, 12 ou 24 observações</x:v>
      </x:c>
      <x:c r="D15" s="101" t="str">
        <x:v>Média recursiva das observações mais recentes × fatores</x:v>
      </x:c>
      <x:c r="E15" s="101" t="str">
        <x:v>Tendência de médio/longo prazo</x:v>
      </x:c>
      <x:c r="F15" s="101" t="str">
        <x:v>Janela longa reage lentamente</x:v>
      </x:c>
      <x:c r="G15" s="101" t="str">
        <x:v>5</x:v>
      </x:c>
      <x:c r="H15" s="101" t="str">
        <x:v>Série suavizada</x:v>
      </x:c>
    </x:row>
    <x:row r="16" ht="48" customHeight="1">
      <x:c r="A16" s="101" t="str">
        <x:v>MMV + incremental</x:v>
      </x:c>
      <x:c r="B16" s="101" t="str">
        <x:v>Há arrecadação negativa por estornos, deduções ou ajustes</x:v>
      </x:c>
      <x:c r="C16" s="101" t="str">
        <x:v>Base redistribuída e normalizada</x:v>
      </x:c>
      <x:c r="D16" s="101" t="str">
        <x:v>Trata negativos, preserva total e aplica fatores</x:v>
      </x:c>
      <x:c r="E16" s="101" t="str">
        <x:v>Não projeta valor negativo e não cria receita</x:v>
      </x:c>
      <x:c r="F16" s="101" t="str">
        <x:v>Usar sem investigar a causa</x:v>
      </x:c>
      <x:c r="G16" s="101" t="str">
        <x:v>6</x:v>
      </x:c>
      <x:c r="H16" s="101" t="str">
        <x:v>Base tratada e projeção</x:v>
      </x:c>
    </x:row>
    <x:row r="17">
      <x:c r="A17" s="97"/>
      <x:c r="B17" s="97"/>
      <x:c r="C17" s="97"/>
      <x:c r="D17" s="97"/>
      <x:c r="E17" s="97"/>
      <x:c r="F17" s="97"/>
      <x:c r="G17" s="97"/>
      <x:c r="H17" s="97"/>
    </x:row>
    <x:row r="18" ht="24" customHeight="1">
      <x:c r="A18" s="14" t="str">
        <x:v>Rotina mínima de trabalho</x:v>
      </x:c>
      <x:c r="B18" s="15" t="str">
        <x:v>Rotina mínima de trabalho</x:v>
      </x:c>
      <x:c r="C18" s="15" t="str">
        <x:v>Rotina mínima de trabalho</x:v>
      </x:c>
      <x:c r="D18" s="15" t="str">
        <x:v>Rotina mínima de trabalho</x:v>
      </x:c>
      <x:c r="E18" s="15" t="str">
        <x:v>Rotina mínima de trabalho</x:v>
      </x:c>
      <x:c r="F18" s="15" t="str">
        <x:v>Rotina mínima de trabalho</x:v>
      </x:c>
      <x:c r="G18" s="15" t="str">
        <x:v>Rotina mínima de trabalho</x:v>
      </x:c>
      <x:c r="H18" s="16" t="str">
        <x:v>Rotina mínima de trabalho</x:v>
      </x:c>
    </x:row>
    <x:row r="19" ht="34" customHeight="1">
      <x:c r="A19" s="32" t="str">
        <x:v>1</x:v>
      </x:c>
      <x:c r="B19" s="101" t="str">
        <x:v>Definir a receita, a unidade, o horizonte e o uso da estimativa.</x:v>
      </x:c>
      <x:c r="C19" s="97"/>
      <x:c r="D19" s="37" t="str">
        <x:v>Regra de decisão
O modelo não deve ser escolhido apenas porque produz o maior valor. A seleção deve decorrer do comportamento da receita, do fato gerador, da qualidade da série e da documentação dos fatores. Métricas de erro ajudam, mas não substituem o juízo técnico e a validação humana.</x:v>
      </x:c>
      <x:c r="E19" s="37"/>
      <x:c r="F19" s="37"/>
      <x:c r="G19" s="37"/>
      <x:c r="H19" s="37"/>
    </x:row>
    <x:row r="20" ht="34" customHeight="1">
      <x:c r="A20" s="32" t="str">
        <x:v>2</x:v>
      </x:c>
      <x:c r="B20" s="101" t="str">
        <x:v>Extrair e reconciliar pelo menos três exercícios mensais.</x:v>
      </x:c>
      <x:c r="C20" s="97"/>
      <x:c r="D20" s="37"/>
      <x:c r="E20" s="37"/>
      <x:c r="F20" s="37"/>
      <x:c r="G20" s="37"/>
      <x:c r="H20" s="37"/>
    </x:row>
    <x:row r="21" ht="34" customHeight="1">
      <x:c r="A21" s="32" t="str">
        <x:v>3</x:v>
      </x:c>
      <x:c r="B21" s="101" t="str">
        <x:v>Normalizar classificação, eliminar/explicar atipicidades e preservar trilha de auditoria.</x:v>
      </x:c>
      <x:c r="C21" s="97"/>
      <x:c r="D21" s="37"/>
      <x:c r="E21" s="37"/>
      <x:c r="F21" s="37"/>
      <x:c r="G21" s="37"/>
      <x:c r="H21" s="37"/>
    </x:row>
    <x:row r="22" ht="34" customHeight="1">
      <x:c r="A22" s="32" t="str">
        <x:v>4</x:v>
      </x:c>
      <x:c r="B22" s="101" t="str">
        <x:v>Diagnosticar sazonalidade, estabilidade, tendência, quebra de patamar e valores negativos.</x:v>
      </x:c>
      <x:c r="C22" s="97"/>
      <x:c r="D22" s="37"/>
      <x:c r="E22" s="37"/>
      <x:c r="F22" s="37"/>
      <x:c r="G22" s="37"/>
      <x:c r="H22" s="37"/>
    </x:row>
    <x:row r="23" ht="34" customHeight="1">
      <x:c r="A23" s="32" t="str">
        <x:v>5</x:v>
      </x:c>
      <x:c r="B23" s="101" t="str">
        <x:v>Selecionar e fundamentar os efeitos preço, quantidade e legislação.</x:v>
      </x:c>
      <x:c r="C23" s="97"/>
      <x:c r="D23" s="37"/>
      <x:c r="E23" s="37"/>
      <x:c r="F23" s="37"/>
      <x:c r="G23" s="37"/>
      <x:c r="H23" s="37"/>
    </x:row>
    <x:row r="24" ht="34" customHeight="1">
      <x:c r="A24" s="32" t="str">
        <x:v>6</x:v>
      </x:c>
      <x:c r="B24" s="101" t="str">
        <x:v>Calcular todos os modelos plausíveis e testar sensibilidade.</x:v>
      </x:c>
      <x:c r="C24" s="97"/>
      <x:c r="D24" s="37"/>
      <x:c r="E24" s="37"/>
      <x:c r="F24" s="37"/>
      <x:c r="G24" s="37"/>
      <x:c r="H24" s="37"/>
    </x:row>
    <x:row r="25" ht="34" customHeight="1">
      <x:c r="A25" s="32" t="str">
        <x:v>7</x:v>
      </x:c>
      <x:c r="B25" s="101" t="str">
        <x:v>Comparar, justificar a escolha e validar os controles.</x:v>
      </x:c>
      <x:c r="C25" s="97"/>
      <x:c r="D25" s="37"/>
      <x:c r="E25" s="37"/>
      <x:c r="F25" s="37"/>
      <x:c r="G25" s="37"/>
      <x:c r="H25" s="37"/>
    </x:row>
    <x:row r="26" ht="34" customHeight="1">
      <x:c r="A26" s="32" t="str">
        <x:v>8</x:v>
      </x:c>
      <x:c r="B26" s="101" t="str">
        <x:v>Aprovar, versionar e anexar memória, fontes e conclusão.</x:v>
      </x:c>
      <x:c r="C26" s="97"/>
      <x:c r="D26" s="37"/>
      <x:c r="E26" s="37"/>
      <x:c r="F26" s="37"/>
      <x:c r="G26" s="37"/>
      <x:c r="H26" s="37"/>
    </x:row>
  </x:sheetData>
  <x:mergeCells>
    <x:mergeCell ref="A1:H2"/>
    <x:mergeCell ref="A3:H3"/>
    <x:mergeCell ref="A5:H5"/>
    <x:mergeCell ref="A6:H8"/>
    <x:mergeCell ref="A10:H10"/>
    <x:mergeCell ref="A18:H18"/>
    <x:mergeCell ref="D19:H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2" hidden="0" customWidth="1"/>
  </x:cols>
  <x:sheetData>
    <x:row r="1" ht="36" customHeight="1">
      <x:c r="A1" s="5" t="str">
        <x:v>Dados históricos e ajustes</x:v>
      </x:c>
      <x:c r="B1" s="5" t="str">
        <x:v>Dados históricos e ajustes</x:v>
      </x:c>
      <x:c r="C1" s="5" t="str">
        <x:v>Dados históricos e ajustes</x:v>
      </x:c>
      <x:c r="D1" s="5" t="str">
        <x:v>Dados históricos e ajustes</x:v>
      </x:c>
      <x:c r="E1" s="5" t="str">
        <x:v>Dados históricos e ajustes</x:v>
      </x:c>
      <x:c r="F1" s="5" t="str">
        <x:v>Dados históricos e ajustes</x:v>
      </x:c>
      <x:c r="G1" s="5" t="str">
        <x:v>Dados históricos e ajustes</x:v>
      </x:c>
      <x:c r="H1" s="5" t="str">
        <x:v>Dados históricos e ajustes</x:v>
      </x:c>
    </x:row>
    <x:row r="2" ht="36" customHeight="1">
      <x:c r="A2" s="5" t="str">
        <x:v>Dados históricos e ajustes</x:v>
      </x:c>
      <x:c r="B2" s="5" t="str">
        <x:v>Dados históricos e ajustes</x:v>
      </x:c>
      <x:c r="C2" s="5" t="str">
        <x:v>Dados históricos e ajustes</x:v>
      </x:c>
      <x:c r="D2" s="5" t="str">
        <x:v>Dados históricos e ajustes</x:v>
      </x:c>
      <x:c r="E2" s="5" t="str">
        <x:v>Dados históricos e ajustes</x:v>
      </x:c>
      <x:c r="F2" s="5" t="str">
        <x:v>Dados históricos e ajustes</x:v>
      </x:c>
      <x:c r="G2" s="5" t="str">
        <x:v>Dados históricos e ajustes</x:v>
      </x:c>
      <x:c r="H2" s="5" t="str">
        <x:v>Dados históricos e ajustes</x:v>
      </x:c>
    </x:row>
    <x:row r="3" ht="30" customHeight="1">
      <x:c r="A3" s="8" t="str">
        <x:v>Informe três exercícios completos, o ajuste técnico da base mais recente e, quando houver, os meses já realizados do ano-alvo.</x:v>
      </x:c>
      <x:c r="B3" s="8" t="str">
        <x:v>Informe três exercícios completos, o ajuste técnico da base mais recente e, quando houver, os meses já realizados do ano-alvo.</x:v>
      </x:c>
      <x:c r="C3" s="8" t="str">
        <x:v>Informe três exercícios completos, o ajuste técnico da base mais recente e, quando houver, os meses já realizados do ano-alvo.</x:v>
      </x:c>
      <x:c r="D3" s="8" t="str">
        <x:v>Informe três exercícios completos, o ajuste técnico da base mais recente e, quando houver, os meses já realizados do ano-alvo.</x:v>
      </x:c>
      <x:c r="E3" s="8" t="str">
        <x:v>Informe três exercícios completos, o ajuste técnico da base mais recente e, quando houver, os meses já realizados do ano-alvo.</x:v>
      </x:c>
      <x:c r="F3" s="8" t="str">
        <x:v>Informe três exercícios completos, o ajuste técnico da base mais recente e, quando houver, os meses já realizados do ano-alvo.</x:v>
      </x:c>
      <x:c r="G3" s="8" t="str">
        <x:v>Informe três exercícios completos, o ajuste técnico da base mais recente e, quando houver, os meses já realizados do ano-alvo.</x:v>
      </x:c>
      <x:c r="H3" s="8" t="str">
        <x:v>Informe três exercícios completos, o ajuste técnico da base mais recente e, quando houver, os meses já realizados do ano-alvo.</x:v>
      </x:c>
    </x:row>
    <x:row r="4">
      <x:c r="A4" s="97"/>
      <x:c r="B4" s="97"/>
      <x:c r="C4" s="97"/>
      <x:c r="D4" s="97"/>
      <x:c r="E4" s="97"/>
      <x:c r="F4" s="97"/>
      <x:c r="G4" s="97"/>
      <x:c r="H4" s="97"/>
    </x:row>
    <x:row r="5">
      <x:c r="A5" s="97"/>
      <x:c r="B5" s="97"/>
      <x:c r="C5" s="97"/>
      <x:c r="D5" s="97"/>
      <x:c r="E5" s="97"/>
      <x:c r="F5" s="97"/>
      <x:c r="G5" s="97"/>
      <x:c r="H5" s="97"/>
    </x:row>
    <x:row r="6">
      <x:c r="A6" s="97"/>
      <x:c r="B6" s="97"/>
      <x:c r="C6" s="97"/>
      <x:c r="D6" s="97"/>
      <x:c r="E6" s="97"/>
      <x:c r="F6" s="97"/>
      <x:c r="G6" s="97"/>
      <x:c r="H6" s="97"/>
    </x:row>
    <x:row r="7">
      <x:c r="A7" s="26" t="str">
        <x:v>Mês</x:v>
      </x:c>
      <x:c r="B7" s="26" t="str">
        <x:v>2023 (Ano -3)</x:v>
      </x:c>
      <x:c r="C7" s="26" t="str">
        <x:v>2024 (Ano -2)</x:v>
      </x:c>
      <x:c r="D7" s="26" t="str">
        <x:v>2025 (Ano -1)</x:v>
      </x:c>
      <x:c r="E7" s="26" t="str">
        <x:v>Ajuste técnico no Ano -1</x:v>
      </x:c>
      <x:c r="F7" s="26" t="str">
        <x:v>Base ajustada</x:v>
      </x:c>
      <x:c r="G7" s="26" t="str">
        <x:v>2026 realizado</x:v>
      </x:c>
      <x:c r="H7" s="26" t="str">
        <x:v>Justificativa / fonte</x:v>
      </x:c>
    </x:row>
    <x:row r="8">
      <x:c r="A8" s="98" t="str">
        <x:v>jan</x:v>
      </x:c>
      <x:c r="B8" s="102" t="n">
        <x:v>410000</x:v>
      </x:c>
      <x:c r="C8" s="102" t="n">
        <x:v>435000</x:v>
      </x:c>
      <x:c r="D8" s="102" t="n">
        <x:v>460000</x:v>
      </x:c>
      <x:c r="E8" s="102" t="n">
        <x:v>0</x:v>
      </x:c>
      <x:c r="F8" s="103" t="n">
        <x:f>D8+E8</x:f>
        <x:v>460000</x:v>
      </x:c>
      <x:c r="G8" s="102" t="n">
        <x:v>490000</x:v>
      </x:c>
      <x:c r="H8" s="104" t="str">
        <x:v>Caso didático — fonte simulada</x:v>
      </x:c>
    </x:row>
    <x:row r="9">
      <x:c r="A9" s="98" t="str">
        <x:v>fev</x:v>
      </x:c>
      <x:c r="B9" s="102" t="n">
        <x:v>585000</x:v>
      </x:c>
      <x:c r="C9" s="102" t="n">
        <x:v>625000</x:v>
      </x:c>
      <x:c r="D9" s="102" t="n">
        <x:v>690000</x:v>
      </x:c>
      <x:c r="E9" s="102" t="n">
        <x:v>0</x:v>
      </x:c>
      <x:c r="F9" s="103" t="n">
        <x:f>D9+E9</x:f>
        <x:v>690000</x:v>
      </x:c>
      <x:c r="G9" s="102" t="n">
        <x:v>710000</x:v>
      </x:c>
      <x:c r="H9" s="104" t="str">
        <x:v>Caso didático — fonte simulada</x:v>
      </x:c>
    </x:row>
    <x:row r="10">
      <x:c r="A10" s="98" t="str">
        <x:v>mar</x:v>
      </x:c>
      <x:c r="B10" s="102" t="n">
        <x:v>1080000</x:v>
      </x:c>
      <x:c r="C10" s="102" t="n">
        <x:v>1185000</x:v>
      </x:c>
      <x:c r="D10" s="102" t="n">
        <x:v>1320000</x:v>
      </x:c>
      <x:c r="E10" s="102" t="n">
        <x:v>0</x:v>
      </x:c>
      <x:c r="F10" s="103" t="n">
        <x:f>D10+E10</x:f>
        <x:v>1320000</x:v>
      </x:c>
      <x:c r="G10" s="102" t="n">
        <x:v>1390000</x:v>
      </x:c>
      <x:c r="H10" s="104" t="str">
        <x:v>Pico sazonal recorrente</x:v>
      </x:c>
    </x:row>
    <x:row r="11">
      <x:c r="A11" s="98" t="str">
        <x:v>abr</x:v>
      </x:c>
      <x:c r="B11" s="102" t="n">
        <x:v>805000</x:v>
      </x:c>
      <x:c r="C11" s="102" t="n">
        <x:v>862000</x:v>
      </x:c>
      <x:c r="D11" s="102" t="n">
        <x:v>930000</x:v>
      </x:c>
      <x:c r="E11" s="102" t="n">
        <x:v>0</x:v>
      </x:c>
      <x:c r="F11" s="103" t="n">
        <x:f>D11+E11</x:f>
        <x:v>930000</x:v>
      </x:c>
      <x:c r="G11" s="102"/>
      <x:c r="H11" s="104" t="str">
        <x:v>Caso didático — fonte simulada</x:v>
      </x:c>
    </x:row>
    <x:row r="12">
      <x:c r="A12" s="98" t="str">
        <x:v>mai</x:v>
      </x:c>
      <x:c r="B12" s="102" t="n">
        <x:v>305000</x:v>
      </x:c>
      <x:c r="C12" s="102" t="n">
        <x:v>325000</x:v>
      </x:c>
      <x:c r="D12" s="102" t="n">
        <x:v>350000</x:v>
      </x:c>
      <x:c r="E12" s="102" t="n">
        <x:v>0</x:v>
      </x:c>
      <x:c r="F12" s="103" t="n">
        <x:f>D12+E12</x:f>
        <x:v>350000</x:v>
      </x:c>
      <x:c r="G12" s="102"/>
      <x:c r="H12" s="104" t="str">
        <x:v>Caso didático — fonte simulada</x:v>
      </x:c>
    </x:row>
    <x:row r="13">
      <x:c r="A13" s="98" t="str">
        <x:v>jun</x:v>
      </x:c>
      <x:c r="B13" s="102" t="n">
        <x:v>225000</x:v>
      </x:c>
      <x:c r="C13" s="102" t="n">
        <x:v>245000</x:v>
      </x:c>
      <x:c r="D13" s="102" t="n">
        <x:v>265000</x:v>
      </x:c>
      <x:c r="E13" s="102" t="n">
        <x:v>0</x:v>
      </x:c>
      <x:c r="F13" s="103" t="n">
        <x:f>D13+E13</x:f>
        <x:v>265000</x:v>
      </x:c>
      <x:c r="G13" s="102"/>
      <x:c r="H13" s="104" t="str">
        <x:v>Caso didático — fonte simulada</x:v>
      </x:c>
    </x:row>
    <x:row r="14">
      <x:c r="A14" s="98" t="str">
        <x:v>jul</x:v>
      </x:c>
      <x:c r="B14" s="102" t="n">
        <x:v>218000</x:v>
      </x:c>
      <x:c r="C14" s="102" t="n">
        <x:v>235000</x:v>
      </x:c>
      <x:c r="D14" s="102" t="n">
        <x:v>255000</x:v>
      </x:c>
      <x:c r="E14" s="102" t="n">
        <x:v>0</x:v>
      </x:c>
      <x:c r="F14" s="103" t="n">
        <x:f>D14+E14</x:f>
        <x:v>255000</x:v>
      </x:c>
      <x:c r="G14" s="102"/>
      <x:c r="H14" s="104" t="str">
        <x:v>Caso didático — fonte simulada</x:v>
      </x:c>
    </x:row>
    <x:row r="15">
      <x:c r="A15" s="98" t="str">
        <x:v>ago</x:v>
      </x:c>
      <x:c r="B15" s="102" t="n">
        <x:v>238000</x:v>
      </x:c>
      <x:c r="C15" s="102" t="n">
        <x:v>252000</x:v>
      </x:c>
      <x:c r="D15" s="102" t="n">
        <x:v>275000</x:v>
      </x:c>
      <x:c r="E15" s="102" t="n">
        <x:v>0</x:v>
      </x:c>
      <x:c r="F15" s="103" t="n">
        <x:f>D15+E15</x:f>
        <x:v>275000</x:v>
      </x:c>
      <x:c r="G15" s="102"/>
      <x:c r="H15" s="104" t="str">
        <x:v>Caso didático — fonte simulada</x:v>
      </x:c>
    </x:row>
    <x:row r="16">
      <x:c r="A16" s="98" t="str">
        <x:v>set</x:v>
      </x:c>
      <x:c r="B16" s="102" t="n">
        <x:v>245000</x:v>
      </x:c>
      <x:c r="C16" s="102" t="n">
        <x:v>265000</x:v>
      </x:c>
      <x:c r="D16" s="102" t="n">
        <x:v>-120000</x:v>
      </x:c>
      <x:c r="E16" s="102" t="n">
        <x:v>0</x:v>
      </x:c>
      <x:c r="F16" s="103" t="n">
        <x:f>D16+E16</x:f>
        <x:v>-120000</x:v>
      </x:c>
      <x:c r="G16" s="102"/>
      <x:c r="H16" s="104" t="str">
        <x:v>Estorno superior à arrecadação; investigar e avaliar MMV</x:v>
      </x:c>
    </x:row>
    <x:row r="17">
      <x:c r="A17" s="98" t="str">
        <x:v>out</x:v>
      </x:c>
      <x:c r="B17" s="102" t="n">
        <x:v>252000</x:v>
      </x:c>
      <x:c r="C17" s="102" t="n">
        <x:v>275000</x:v>
      </x:c>
      <x:c r="D17" s="102" t="n">
        <x:v>295000</x:v>
      </x:c>
      <x:c r="E17" s="102" t="n">
        <x:v>0</x:v>
      </x:c>
      <x:c r="F17" s="103" t="n">
        <x:f>D17+E17</x:f>
        <x:v>295000</x:v>
      </x:c>
      <x:c r="G17" s="102"/>
      <x:c r="H17" s="104" t="str">
        <x:v>Caso didático — fonte simulada</x:v>
      </x:c>
    </x:row>
    <x:row r="18">
      <x:c r="A18" s="98" t="str">
        <x:v>nov</x:v>
      </x:c>
      <x:c r="B18" s="102" t="n">
        <x:v>282000</x:v>
      </x:c>
      <x:c r="C18" s="102" t="n">
        <x:v>305000</x:v>
      </x:c>
      <x:c r="D18" s="102" t="n">
        <x:v>330000</x:v>
      </x:c>
      <x:c r="E18" s="102" t="n">
        <x:v>0</x:v>
      </x:c>
      <x:c r="F18" s="103" t="n">
        <x:f>D18+E18</x:f>
        <x:v>330000</x:v>
      </x:c>
      <x:c r="G18" s="102"/>
      <x:c r="H18" s="104" t="str">
        <x:v>Caso didático — fonte simulada</x:v>
      </x:c>
    </x:row>
    <x:row r="19">
      <x:c r="A19" s="98" t="str">
        <x:v>dez</x:v>
      </x:c>
      <x:c r="B19" s="102" t="n">
        <x:v>315000</x:v>
      </x:c>
      <x:c r="C19" s="102" t="n">
        <x:v>342000</x:v>
      </x:c>
      <x:c r="D19" s="102" t="n">
        <x:v>370000</x:v>
      </x:c>
      <x:c r="E19" s="102" t="n">
        <x:v>0</x:v>
      </x:c>
      <x:c r="F19" s="103" t="n">
        <x:f>D19+E19</x:f>
        <x:v>370000</x:v>
      </x:c>
      <x:c r="G19" s="102"/>
      <x:c r="H19" s="104" t="str">
        <x:v>Caso didático — fonte simulada</x:v>
      </x:c>
    </x:row>
    <x:row r="20">
      <x:c r="A20" s="39" t="str">
        <x:v>Total</x:v>
      </x:c>
      <x:c r="B20" s="44" t="n">
        <x:f>SUM(B8:B19)</x:f>
        <x:v>4960000</x:v>
      </x:c>
      <x:c r="C20" s="44" t="n">
        <x:f>SUM(C8:C19)</x:f>
        <x:v>5351000</x:v>
      </x:c>
      <x:c r="D20" s="44" t="n">
        <x:f>SUM(D8:D19)</x:f>
        <x:v>5420000</x:v>
      </x:c>
      <x:c r="E20" s="44" t="n">
        <x:f>SUM(E8:E19)</x:f>
        <x:v>0</x:v>
      </x:c>
      <x:c r="F20" s="44" t="n">
        <x:f>SUM(F8:F19)</x:f>
        <x:v>5420000</x:v>
      </x:c>
      <x:c r="G20" s="44" t="n">
        <x:f>SUM(G8:G19)</x:f>
        <x:v>2590000</x:v>
      </x:c>
      <x:c r="H20" s="46" t="str"/>
    </x:row>
    <x:row r="21">
      <x:c r="A21" s="97"/>
      <x:c r="B21" s="97"/>
      <x:c r="C21" s="97"/>
      <x:c r="D21" s="97"/>
      <x:c r="E21" s="97"/>
      <x:c r="F21" s="97"/>
      <x:c r="G21" s="97"/>
      <x:c r="H21" s="97"/>
    </x:row>
    <x:row r="22">
      <x:c r="A22" s="97"/>
      <x:c r="B22" s="97"/>
      <x:c r="C22" s="97"/>
      <x:c r="D22" s="97"/>
      <x:c r="E22" s="97"/>
      <x:c r="F22" s="97"/>
      <x:c r="G22" s="97"/>
      <x:c r="H22" s="97"/>
    </x:row>
    <x:row r="23">
      <x:c r="A23" s="105" t="str">
        <x:v>Orientação: ajuste a base apenas com evidência documentada. Digite em E um valor positivo ou negativo que, somado ao realizado do Ano -1, produza a base comparável. A arrecadação negativa pode ser mantida para tratamento pelo MMV quando sua causa for estorno, dedução ou ajuste, conforme o MDF.</x:v>
      </x:c>
      <x:c r="B23" s="105"/>
      <x:c r="C23" s="105"/>
      <x:c r="D23" s="105"/>
      <x:c r="E23" s="105"/>
      <x:c r="F23" s="105"/>
      <x:c r="G23" s="105"/>
      <x:c r="H23" s="105"/>
    </x:row>
    <x:row r="24">
      <x:c r="A24" s="105"/>
      <x:c r="B24" s="105"/>
      <x:c r="C24" s="105"/>
      <x:c r="D24" s="105"/>
      <x:c r="E24" s="105"/>
      <x:c r="F24" s="105"/>
      <x:c r="G24" s="105"/>
      <x:c r="H24" s="105"/>
    </x:row>
    <x:row r="25">
      <x:c r="A25" s="105"/>
      <x:c r="B25" s="105"/>
      <x:c r="C25" s="105"/>
      <x:c r="D25" s="105"/>
      <x:c r="E25" s="105"/>
      <x:c r="F25" s="105"/>
      <x:c r="G25" s="105"/>
      <x:c r="H25" s="105"/>
    </x:row>
  </x:sheetData>
  <x:mergeCells>
    <x:mergeCell ref="A1:H2"/>
    <x:mergeCell ref="A3:H3"/>
    <x:mergeCell ref="A23:H25"/>
  </x:mergeCells>
  <x:conditionalFormatting sqref="F8:F19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48" hidden="0" customWidth="1"/>
  </x:cols>
  <x:sheetData>
    <x:row r="1" ht="36" customHeight="1">
      <x:c r="A1" s="5" t="str">
        <x:v>Premissas da projeção</x:v>
      </x:c>
      <x:c r="B1" s="5" t="str">
        <x:v>Premissas da projeção</x:v>
      </x:c>
      <x:c r="C1" s="5" t="str">
        <x:v>Premissas da projeção</x:v>
      </x:c>
      <x:c r="D1" s="5" t="str">
        <x:v>Premissas da projeção</x:v>
      </x:c>
      <x:c r="E1" s="5" t="str">
        <x:v>Premissas da projeção</x:v>
      </x:c>
      <x:c r="F1" s="5" t="str">
        <x:v>Premissas da projeção</x:v>
      </x:c>
    </x:row>
    <x:row r="2" ht="36" customHeight="1">
      <x:c r="A2" s="5" t="str">
        <x:v>Premissas da projeção</x:v>
      </x:c>
      <x:c r="B2" s="5" t="str">
        <x:v>Premissas da projeção</x:v>
      </x:c>
      <x:c r="C2" s="5" t="str">
        <x:v>Premissas da projeção</x:v>
      </x:c>
      <x:c r="D2" s="5" t="str">
        <x:v>Premissas da projeção</x:v>
      </x:c>
      <x:c r="E2" s="5" t="str">
        <x:v>Premissas da projeção</x:v>
      </x:c>
      <x:c r="F2" s="5" t="str">
        <x:v>Premissas da projeção</x:v>
      </x:c>
    </x:row>
    <x:row r="3" ht="30" customHeight="1">
      <x:c r="A3" s="8" t="str">
        <x:v>Registre fatores como índices: 1,040 representa aumento de 4%. Cada escolha deve ter fonte, data-base e justificativa.</x:v>
      </x:c>
      <x:c r="B3" s="8" t="str">
        <x:v>Registre fatores como índices: 1,040 representa aumento de 4%. Cada escolha deve ter fonte, data-base e justificativa.</x:v>
      </x:c>
      <x:c r="C3" s="8" t="str">
        <x:v>Registre fatores como índices: 1,040 representa aumento de 4%. Cada escolha deve ter fonte, data-base e justificativa.</x:v>
      </x:c>
      <x:c r="D3" s="8" t="str">
        <x:v>Registre fatores como índices: 1,040 representa aumento de 4%. Cada escolha deve ter fonte, data-base e justificativa.</x:v>
      </x:c>
      <x:c r="E3" s="8" t="str">
        <x:v>Registre fatores como índices: 1,040 representa aumento de 4%. Cada escolha deve ter fonte, data-base e justificativa.</x:v>
      </x:c>
      <x:c r="F3" s="8" t="str">
        <x:v>Registre fatores como índices: 1,040 representa aumento de 4%. Cada escolha deve ter fonte, data-base e justificativa.</x:v>
      </x:c>
    </x:row>
    <x:row r="4">
      <x:c r="A4" s="39" t="str">
        <x:v>Receita</x:v>
      </x:c>
      <x:c r="B4" s="106" t="str">
        <x:v>Receita tributária municipal — caso didático</x:v>
      </x:c>
      <x:c r="C4" s="97"/>
      <x:c r="D4" s="97"/>
      <x:c r="E4" s="97"/>
      <x:c r="F4" s="97"/>
    </x:row>
    <x:row r="5">
      <x:c r="A5" s="39" t="str">
        <x:v>Natureza/código</x:v>
      </x:c>
      <x:c r="B5" s="106" t="str">
        <x:v>1.1.x.x.xx.x.x</x:v>
      </x:c>
      <x:c r="C5" s="97"/>
      <x:c r="D5" s="97"/>
      <x:c r="E5" s="97"/>
      <x:c r="F5" s="97"/>
    </x:row>
    <x:row r="6">
      <x:c r="A6" s="39" t="str">
        <x:v>Ano-alvo</x:v>
      </x:c>
      <x:c r="B6" s="106" t="n">
        <x:v>2026</x:v>
      </x:c>
      <x:c r="C6" s="97"/>
      <x:c r="D6" s="97"/>
      <x:c r="E6" s="97"/>
      <x:c r="F6" s="97"/>
    </x:row>
    <x:row r="7">
      <x:c r="A7" s="39" t="str">
        <x:v>Modelo selecionado</x:v>
      </x:c>
      <x:c r="B7" s="106" t="str">
        <x:v>MMV + incremental</x:v>
      </x:c>
      <x:c r="C7" s="97"/>
      <x:c r="D7" s="97"/>
      <x:c r="E7" s="97"/>
      <x:c r="F7" s="97"/>
    </x:row>
    <x:row r="8">
      <x:c r="A8" s="39" t="str">
        <x:v>Janela da média móvel</x:v>
      </x:c>
      <x:c r="B8" s="106" t="n">
        <x:v>12</x:v>
      </x:c>
      <x:c r="C8" s="97"/>
      <x:c r="D8" s="97"/>
      <x:c r="E8" s="97"/>
      <x:c r="F8" s="97"/>
    </x:row>
    <x:row r="9">
      <x:c r="A9" s="39" t="str">
        <x:v>Unidade</x:v>
      </x:c>
      <x:c r="B9" s="106" t="str">
        <x:v>R$ 1,00</x:v>
      </x:c>
      <x:c r="C9" s="97"/>
      <x:c r="D9" s="97"/>
      <x:c r="E9" s="97"/>
      <x:c r="F9" s="97"/>
    </x:row>
    <x:row r="10">
      <x:c r="A10" s="39" t="str">
        <x:v>Meses realizados</x:v>
      </x:c>
      <x:c r="B10" s="98" t="n">
        <x:f>COUNT(Dados!G8:G19)</x:f>
        <x:v>3</x:v>
      </x:c>
      <x:c r="C10" s="97"/>
      <x:c r="D10" s="97"/>
      <x:c r="E10" s="97"/>
      <x:c r="F10" s="97"/>
    </x:row>
    <x:row r="11">
      <x:c r="A11" s="39" t="str">
        <x:v>Responsável</x:v>
      </x:c>
      <x:c r="B11" s="106" t="str">
        <x:v>Equipe de treinamento</x:v>
      </x:c>
      <x:c r="C11" s="97"/>
      <x:c r="D11" s="97"/>
      <x:c r="E11" s="97"/>
      <x:c r="F11" s="97"/>
    </x:row>
    <x:row r="12">
      <x:c r="A12" s="39" t="str">
        <x:v>Data-base</x:v>
      </x:c>
      <x:c r="B12" s="106" t="str">
        <x:v>31/03/2026 (simulada)</x:v>
      </x:c>
      <x:c r="C12" s="97"/>
      <x:c r="D12" s="97"/>
      <x:c r="E12" s="97"/>
      <x:c r="F12" s="97"/>
    </x:row>
    <x:row r="13">
      <x:c r="A13" s="97"/>
      <x:c r="B13" s="97"/>
      <x:c r="C13" s="97"/>
      <x:c r="D13" s="97"/>
      <x:c r="E13" s="97"/>
      <x:c r="F13" s="97"/>
    </x:row>
    <x:row r="14" ht="24" customHeight="1">
      <x:c r="A14" s="14" t="str">
        <x:v>Índices mensais aplicáveis ao intervalo entre a base e o mês projetado</x:v>
      </x:c>
      <x:c r="B14" s="15" t="str">
        <x:v>Índices mensais aplicáveis ao intervalo entre a base e o mês projetado</x:v>
      </x:c>
      <x:c r="C14" s="15" t="str">
        <x:v>Índices mensais aplicáveis ao intervalo entre a base e o mês projetado</x:v>
      </x:c>
      <x:c r="D14" s="15" t="str">
        <x:v>Índices mensais aplicáveis ao intervalo entre a base e o mês projetado</x:v>
      </x:c>
      <x:c r="E14" s="15" t="str">
        <x:v>Índices mensais aplicáveis ao intervalo entre a base e o mês projetado</x:v>
      </x:c>
      <x:c r="F14" s="16" t="str">
        <x:v>Índices mensais aplicáveis ao intervalo entre a base e o mês projetado</x:v>
      </x:c>
    </x:row>
    <x:row r="15">
      <x:c r="A15" s="26" t="str">
        <x:v>Mês</x:v>
      </x:c>
      <x:c r="B15" s="26" t="str">
        <x:v>Índice de preço</x:v>
      </x:c>
      <x:c r="C15" s="26" t="str">
        <x:v>Índice de quantidade</x:v>
      </x:c>
      <x:c r="D15" s="26" t="str">
        <x:v>Efeito legislação</x:v>
      </x:c>
      <x:c r="E15" s="26" t="str">
        <x:v>Fator total</x:v>
      </x:c>
      <x:c r="F15" s="26" t="str">
        <x:v>Fonte e justificativa</x:v>
      </x:c>
    </x:row>
    <x:row r="16">
      <x:c r="A16" s="98" t="str">
        <x:v>jan</x:v>
      </x:c>
      <x:c r="B16" s="107" t="n">
        <x:v>1.04</x:v>
      </x:c>
      <x:c r="C16" s="107" t="n">
        <x:v>1.02</x:v>
      </x:c>
      <x:c r="D16" s="107" t="n">
        <x:v>1</x:v>
      </x:c>
      <x:c r="E16" s="108" t="n">
        <x:f>B16*C16*D16</x:f>
        <x:v>1.0608</x:v>
      </x:c>
      <x:c r="F16" s="104" t="str">
        <x:v>Hipóteses didáticas: preço 4%; quantidade 2%</x:v>
      </x:c>
    </x:row>
    <x:row r="17">
      <x:c r="A17" s="98" t="str">
        <x:v>fev</x:v>
      </x:c>
      <x:c r="B17" s="107" t="n">
        <x:v>1.04</x:v>
      </x:c>
      <x:c r="C17" s="107" t="n">
        <x:v>1.02</x:v>
      </x:c>
      <x:c r="D17" s="107" t="n">
        <x:v>1</x:v>
      </x:c>
      <x:c r="E17" s="108" t="n">
        <x:f>B17*C17*D17</x:f>
        <x:v>1.0608</x:v>
      </x:c>
      <x:c r="F17" s="104" t="str">
        <x:v>Hipóteses didáticas: preço 4%; quantidade 2%</x:v>
      </x:c>
    </x:row>
    <x:row r="18">
      <x:c r="A18" s="98" t="str">
        <x:v>mar</x:v>
      </x:c>
      <x:c r="B18" s="107" t="n">
        <x:v>1.04</x:v>
      </x:c>
      <x:c r="C18" s="107" t="n">
        <x:v>1.02</x:v>
      </x:c>
      <x:c r="D18" s="107" t="n">
        <x:v>1</x:v>
      </x:c>
      <x:c r="E18" s="108" t="n">
        <x:f>B18*C18*D18</x:f>
        <x:v>1.0608</x:v>
      </x:c>
      <x:c r="F18" s="104" t="str">
        <x:v>Hipóteses didáticas: preço 4%; quantidade 2%</x:v>
      </x:c>
    </x:row>
    <x:row r="19">
      <x:c r="A19" s="98" t="str">
        <x:v>abr</x:v>
      </x:c>
      <x:c r="B19" s="107" t="n">
        <x:v>1.04</x:v>
      </x:c>
      <x:c r="C19" s="107" t="n">
        <x:v>1.02</x:v>
      </x:c>
      <x:c r="D19" s="107" t="n">
        <x:v>1</x:v>
      </x:c>
      <x:c r="E19" s="108" t="n">
        <x:f>B19*C19*D19</x:f>
        <x:v>1.0608</x:v>
      </x:c>
      <x:c r="F19" s="104" t="str">
        <x:v>Hipóteses didáticas: preço 4%; quantidade 2%</x:v>
      </x:c>
    </x:row>
    <x:row r="20">
      <x:c r="A20" s="98" t="str">
        <x:v>mai</x:v>
      </x:c>
      <x:c r="B20" s="107" t="n">
        <x:v>1.04</x:v>
      </x:c>
      <x:c r="C20" s="107" t="n">
        <x:v>1.02</x:v>
      </x:c>
      <x:c r="D20" s="107" t="n">
        <x:v>1</x:v>
      </x:c>
      <x:c r="E20" s="108" t="n">
        <x:f>B20*C20*D20</x:f>
        <x:v>1.0608</x:v>
      </x:c>
      <x:c r="F20" s="104" t="str">
        <x:v>Hipóteses didáticas: preço 4%; quantidade 2%</x:v>
      </x:c>
    </x:row>
    <x:row r="21">
      <x:c r="A21" s="98" t="str">
        <x:v>jun</x:v>
      </x:c>
      <x:c r="B21" s="107" t="n">
        <x:v>1.04</x:v>
      </x:c>
      <x:c r="C21" s="107" t="n">
        <x:v>1.02</x:v>
      </x:c>
      <x:c r="D21" s="107" t="n">
        <x:v>1</x:v>
      </x:c>
      <x:c r="E21" s="108" t="n">
        <x:f>B21*C21*D21</x:f>
        <x:v>1.0608</x:v>
      </x:c>
      <x:c r="F21" s="104" t="str">
        <x:v>Hipóteses didáticas: preço 4%; quantidade 2%</x:v>
      </x:c>
    </x:row>
    <x:row r="22">
      <x:c r="A22" s="98" t="str">
        <x:v>jul</x:v>
      </x:c>
      <x:c r="B22" s="107" t="n">
        <x:v>1.04</x:v>
      </x:c>
      <x:c r="C22" s="107" t="n">
        <x:v>1.02</x:v>
      </x:c>
      <x:c r="D22" s="107" t="n">
        <x:v>1.05</x:v>
      </x:c>
      <x:c r="E22" s="108" t="n">
        <x:f>B22*C22*D22</x:f>
        <x:v>1.11384</x:v>
      </x:c>
      <x:c r="F22" s="104" t="str">
        <x:v>Hipóteses didáticas; efeito legal de 5% a partir de jul</x:v>
      </x:c>
    </x:row>
    <x:row r="23">
      <x:c r="A23" s="98" t="str">
        <x:v>ago</x:v>
      </x:c>
      <x:c r="B23" s="107" t="n">
        <x:v>1.04</x:v>
      </x:c>
      <x:c r="C23" s="107" t="n">
        <x:v>1.02</x:v>
      </x:c>
      <x:c r="D23" s="107" t="n">
        <x:v>1.05</x:v>
      </x:c>
      <x:c r="E23" s="108" t="n">
        <x:f>B23*C23*D23</x:f>
        <x:v>1.11384</x:v>
      </x:c>
      <x:c r="F23" s="104" t="str">
        <x:v>Hipóteses didáticas; efeito legal de 5% a partir de jul</x:v>
      </x:c>
    </x:row>
    <x:row r="24">
      <x:c r="A24" s="98" t="str">
        <x:v>set</x:v>
      </x:c>
      <x:c r="B24" s="107" t="n">
        <x:v>1.04</x:v>
      </x:c>
      <x:c r="C24" s="107" t="n">
        <x:v>1.02</x:v>
      </x:c>
      <x:c r="D24" s="107" t="n">
        <x:v>1.05</x:v>
      </x:c>
      <x:c r="E24" s="108" t="n">
        <x:f>B24*C24*D24</x:f>
        <x:v>1.11384</x:v>
      </x:c>
      <x:c r="F24" s="104" t="str">
        <x:v>Hipóteses didáticas; efeito legal de 5% a partir de jul</x:v>
      </x:c>
    </x:row>
    <x:row r="25">
      <x:c r="A25" s="98" t="str">
        <x:v>out</x:v>
      </x:c>
      <x:c r="B25" s="107" t="n">
        <x:v>1.04</x:v>
      </x:c>
      <x:c r="C25" s="107" t="n">
        <x:v>1.02</x:v>
      </x:c>
      <x:c r="D25" s="107" t="n">
        <x:v>1.05</x:v>
      </x:c>
      <x:c r="E25" s="108" t="n">
        <x:f>B25*C25*D25</x:f>
        <x:v>1.11384</x:v>
      </x:c>
      <x:c r="F25" s="104" t="str">
        <x:v>Hipóteses didáticas; efeito legal de 5% a partir de jul</x:v>
      </x:c>
    </x:row>
    <x:row r="26">
      <x:c r="A26" s="98" t="str">
        <x:v>nov</x:v>
      </x:c>
      <x:c r="B26" s="107" t="n">
        <x:v>1.04</x:v>
      </x:c>
      <x:c r="C26" s="107" t="n">
        <x:v>1.02</x:v>
      </x:c>
      <x:c r="D26" s="107" t="n">
        <x:v>1.05</x:v>
      </x:c>
      <x:c r="E26" s="108" t="n">
        <x:f>B26*C26*D26</x:f>
        <x:v>1.11384</x:v>
      </x:c>
      <x:c r="F26" s="104" t="str">
        <x:v>Hipóteses didáticas; efeito legal de 5% a partir de jul</x:v>
      </x:c>
    </x:row>
    <x:row r="27">
      <x:c r="A27" s="98" t="str">
        <x:v>dez</x:v>
      </x:c>
      <x:c r="B27" s="107" t="n">
        <x:v>1.04</x:v>
      </x:c>
      <x:c r="C27" s="107" t="n">
        <x:v>1.02</x:v>
      </x:c>
      <x:c r="D27" s="107" t="n">
        <x:v>1.05</x:v>
      </x:c>
      <x:c r="E27" s="108" t="n">
        <x:f>B27*C27*D27</x:f>
        <x:v>1.11384</x:v>
      </x:c>
      <x:c r="F27" s="104" t="str">
        <x:v>Hipóteses didáticas; efeito legal de 5% a partir de jul</x:v>
      </x:c>
    </x:row>
    <x:row r="28">
      <x:c r="A28" s="97"/>
      <x:c r="B28" s="97"/>
      <x:c r="C28" s="97"/>
      <x:c r="D28" s="97"/>
      <x:c r="E28" s="97"/>
      <x:c r="F28" s="97"/>
    </x:row>
    <x:row r="29">
      <x:c r="A29" s="97"/>
      <x:c r="B29" s="97"/>
      <x:c r="C29" s="97"/>
      <x:c r="D29" s="97"/>
      <x:c r="E29" s="97"/>
      <x:c r="F29" s="97"/>
    </x:row>
    <x:row r="30">
      <x:c r="A30" s="109" t="str">
        <x:v>Atenção jurídica: o efeito legislação deve refletir a alteração de alíquota ou base de cálculo e sua vigência efetiva. Verifique anterioridade, noventena quando aplicável, regra contratual e eventual impacto parcial no ano. Não use inflação ou crescimento econômico por conveniência; relacione cada índice ao fato gerador.</x:v>
      </x:c>
      <x:c r="B30" s="109"/>
      <x:c r="C30" s="109"/>
      <x:c r="D30" s="109"/>
      <x:c r="E30" s="109"/>
      <x:c r="F30" s="109"/>
    </x:row>
    <x:row r="31">
      <x:c r="A31" s="109"/>
      <x:c r="B31" s="109"/>
      <x:c r="C31" s="109"/>
      <x:c r="D31" s="109"/>
      <x:c r="E31" s="109"/>
      <x:c r="F31" s="109"/>
    </x:row>
    <x:row r="32">
      <x:c r="A32" s="109"/>
      <x:c r="B32" s="109"/>
      <x:c r="C32" s="109"/>
      <x:c r="D32" s="109"/>
      <x:c r="E32" s="109"/>
      <x:c r="F32" s="109"/>
    </x:row>
    <x:row r="33">
      <x:c r="A33" s="109"/>
      <x:c r="B33" s="109"/>
      <x:c r="C33" s="109"/>
      <x:c r="D33" s="109"/>
      <x:c r="E33" s="109"/>
      <x:c r="F33" s="109"/>
    </x:row>
  </x:sheetData>
  <x:mergeCells>
    <x:mergeCell ref="A1:F2"/>
    <x:mergeCell ref="A3:F3"/>
    <x:mergeCell ref="A14:F14"/>
    <x:mergeCell ref="A30:F33"/>
  </x:mergeCells>
  <x:dataValidations count="2">
    <x:dataValidation type="list" sqref="B7">
      <x:formula1>"Sazonal a(t-12),Média (t-1),Média Ajustada,Média Móvel,MMV + incremental"</x:formula1>
    </x:dataValidation>
    <x:dataValidation type="list" sqref="B8">
      <x:formula1>"3,6,12,24"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19" hidden="0" customWidth="1"/>
    <x:col min="3" max="3" width="19" hidden="0" customWidth="1"/>
    <x:col min="4" max="4" width="15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16" hidden="0" customWidth="1"/>
  </x:cols>
  <x:sheetData>
    <x:row r="1" ht="36" customHeight="1">
      <x:c r="A1" s="5" t="str">
        <x:v>Comparação dos modelos</x:v>
      </x:c>
      <x:c r="B1" s="5" t="str">
        <x:v>Comparação dos modelos</x:v>
      </x:c>
      <x:c r="C1" s="5" t="str">
        <x:v>Comparação dos modelos</x:v>
      </x:c>
      <x:c r="D1" s="5" t="str">
        <x:v>Comparação dos modelos</x:v>
      </x:c>
      <x:c r="E1" s="5" t="str">
        <x:v>Comparação dos modelos</x:v>
      </x:c>
      <x:c r="F1" s="5" t="str">
        <x:v>Comparação dos modelos</x:v>
      </x:c>
      <x:c r="G1" s="5" t="str">
        <x:v>Comparação dos modelos</x:v>
      </x:c>
      <x:c r="H1" s="5" t="str">
        <x:v>Comparação dos modelos</x:v>
      </x:c>
      <x:c r="I1" s="5" t="str">
        <x:v>Comparação dos modelos</x:v>
      </x:c>
      <x:c r="J1" s="5" t="str">
        <x:v>Comparação dos modelos</x:v>
      </x:c>
      <x:c r="K1" s="5" t="str">
        <x:v>Comparação dos modelos</x:v>
      </x:c>
    </x:row>
    <x:row r="2" ht="36" customHeight="1">
      <x:c r="A2" s="5" t="str">
        <x:v>Comparação dos modelos</x:v>
      </x:c>
      <x:c r="B2" s="5" t="str">
        <x:v>Comparação dos modelos</x:v>
      </x:c>
      <x:c r="C2" s="5" t="str">
        <x:v>Comparação dos modelos</x:v>
      </x:c>
      <x:c r="D2" s="5" t="str">
        <x:v>Comparação dos modelos</x:v>
      </x:c>
      <x:c r="E2" s="5" t="str">
        <x:v>Comparação dos modelos</x:v>
      </x:c>
      <x:c r="F2" s="5" t="str">
        <x:v>Comparação dos modelos</x:v>
      </x:c>
      <x:c r="G2" s="5" t="str">
        <x:v>Comparação dos modelos</x:v>
      </x:c>
      <x:c r="H2" s="5" t="str">
        <x:v>Comparação dos modelos</x:v>
      </x:c>
      <x:c r="I2" s="5" t="str">
        <x:v>Comparação dos modelos</x:v>
      </x:c>
      <x:c r="J2" s="5" t="str">
        <x:v>Comparação dos modelos</x:v>
      </x:c>
      <x:c r="K2" s="5" t="str">
        <x:v>Comparação dos modelos</x:v>
      </x:c>
    </x:row>
    <x:row r="3" ht="30" customHeight="1">
      <x:c r="A3" s="8" t="str">
        <x:v>Os meses já realizados prevalecem na coluna final. Os demais meses recebem o resultado do modelo selecionado em Premissas.</x:v>
      </x:c>
      <x:c r="B3" s="8" t="str">
        <x:v>Os meses já realizados prevalecem na coluna final. Os demais meses recebem o resultado do modelo selecionado em Premissas.</x:v>
      </x:c>
      <x:c r="C3" s="8" t="str">
        <x:v>Os meses já realizados prevalecem na coluna final. Os demais meses recebem o resultado do modelo selecionado em Premissas.</x:v>
      </x:c>
      <x:c r="D3" s="8" t="str">
        <x:v>Os meses já realizados prevalecem na coluna final. Os demais meses recebem o resultado do modelo selecionado em Premissas.</x:v>
      </x:c>
      <x:c r="E3" s="8" t="str">
        <x:v>Os meses já realizados prevalecem na coluna final. Os demais meses recebem o resultado do modelo selecionado em Premissas.</x:v>
      </x:c>
      <x:c r="F3" s="8" t="str">
        <x:v>Os meses já realizados prevalecem na coluna final. Os demais meses recebem o resultado do modelo selecionado em Premissas.</x:v>
      </x:c>
      <x:c r="G3" s="8" t="str">
        <x:v>Os meses já realizados prevalecem na coluna final. Os demais meses recebem o resultado do modelo selecionado em Premissas.</x:v>
      </x:c>
      <x:c r="H3" s="8" t="str">
        <x:v>Os meses já realizados prevalecem na coluna final. Os demais meses recebem o resultado do modelo selecionado em Premissas.</x:v>
      </x:c>
      <x:c r="I3" s="8" t="str">
        <x:v>Os meses já realizados prevalecem na coluna final. Os demais meses recebem o resultado do modelo selecionado em Premissas.</x:v>
      </x:c>
      <x:c r="J3" s="8" t="str">
        <x:v>Os meses já realizados prevalecem na coluna final. Os demais meses recebem o resultado do modelo selecionado em Premissas.</x:v>
      </x:c>
      <x:c r="K3" s="8" t="str">
        <x:v>Os meses já realizados prevalecem na coluna final. Os demais meses recebem o resultado do modelo selecionado em Premissas.</x:v>
      </x:c>
    </x:row>
    <x:row r="4">
      <x:c r="A4" s="97"/>
      <x:c r="B4" s="97"/>
      <x:c r="C4" s="97"/>
      <x:c r="D4" s="97"/>
      <x:c r="E4" s="97"/>
      <x:c r="F4" s="97"/>
      <x:c r="G4" s="97"/>
      <x:c r="H4" s="97"/>
      <x:c r="I4" s="97"/>
      <x:c r="J4" s="97"/>
      <x:c r="K4" s="97"/>
    </x:row>
    <x:row r="5">
      <x:c r="A5" s="97"/>
      <x:c r="B5" s="97"/>
      <x:c r="C5" s="97"/>
      <x:c r="D5" s="97"/>
      <x:c r="E5" s="97"/>
      <x:c r="F5" s="97"/>
      <x:c r="G5" s="97"/>
      <x:c r="H5" s="97"/>
      <x:c r="I5" s="97"/>
      <x:c r="J5" s="97"/>
      <x:c r="K5" s="97"/>
    </x:row>
    <x:row r="6">
      <x:c r="A6" s="26" t="str">
        <x:v>Mês</x:v>
      </x:c>
      <x:c r="B6" s="26" t="str">
        <x:v>Realizado ano-alvo</x:v>
      </x:c>
      <x:c r="C6" s="26" t="str">
        <x:v>Base ajustada</x:v>
      </x:c>
      <x:c r="D6" s="26" t="str">
        <x:v>Fator total</x:v>
      </x:c>
      <x:c r="E6" s="26" t="str">
        <x:v>Sazonal a(t-12)</x:v>
      </x:c>
      <x:c r="F6" s="26" t="str">
        <x:v>Média (t-1)</x:v>
      </x:c>
      <x:c r="G6" s="26" t="str">
        <x:v>Média Ajustada</x:v>
      </x:c>
      <x:c r="H6" s="26" t="str">
        <x:v>Média Móvel</x:v>
      </x:c>
      <x:c r="I6" s="26" t="str">
        <x:v>MMV + incremental</x:v>
      </x:c>
      <x:c r="J6" s="26" t="str">
        <x:v>Projeção selecionada</x:v>
      </x:c>
      <x:c r="K6" s="26" t="str">
        <x:v>Variação vs. base</x:v>
      </x:c>
    </x:row>
    <x:row r="7">
      <x:c r="A7" s="97"/>
      <x:c r="B7" s="97"/>
      <x:c r="C7" s="97"/>
      <x:c r="D7" s="97"/>
      <x:c r="E7" s="97"/>
      <x:c r="F7" s="97"/>
      <x:c r="G7" s="97"/>
      <x:c r="H7" s="97"/>
      <x:c r="I7" s="97"/>
      <x:c r="J7" s="97"/>
      <x:c r="K7" s="97"/>
    </x:row>
    <x:row r="8">
      <x:c r="A8" s="98" t="str">
        <x:v>jan</x:v>
      </x:c>
      <x:c r="B8" s="99" t="n">
        <x:f>IF(Dados!G8="","",Dados!G8)</x:f>
        <x:v>490000</x:v>
      </x:c>
      <x:c r="C8" s="99" t="n">
        <x:f>Dados!F8</x:f>
        <x:v>460000</x:v>
      </x:c>
      <x:c r="D8" s="110" t="n">
        <x:f>Premissas!E16</x:f>
        <x:v>1.0608</x:v>
      </x:c>
      <x:c r="E8" s="99" t="n">
        <x:f>ROUND(C8*D8,2)</x:f>
        <x:v>487968</x:v>
      </x:c>
      <x:c r="F8" s="99" t="n">
        <x:f>ROUND(AVERAGE($C$8:$C$19)*D8,2)</x:f>
        <x:v>479128</x:v>
      </x:c>
      <x:c r="G8" s="99" t="n">
        <x:f>ROUND(IF(B8&lt;&gt;"",B8,IF(COUNT($B$8:$B$19)=0,AVERAGE($C$8:$C$19)*D8,AVERAGE($B$8:$B$19)*D8)),2)</x:f>
        <x:v>490000</x:v>
      </x:c>
      <x:c r="H8" s="99" t="n">
        <x:f>ROUND(Media_Movel!D45,2)</x:f>
        <x:v>490000</x:v>
      </x:c>
      <x:c r="I8" s="99" t="n">
        <x:f>ROUND(MMV!H8,2)</x:f>
        <x:v>441410.83</x:v>
      </x:c>
      <x:c r="J8" s="102" t="n">
        <x:f>ROUND(IF(B8&lt;&gt;"",B8,INDEX(E8:I8,1,MATCH(Premissas!$B$7,$E$6:$I$6,0))),2)</x:f>
        <x:v>490000</x:v>
      </x:c>
      <x:c r="K8" s="111" t="n">
        <x:f>IF(C8=0,0,J8/C8-1)</x:f>
        <x:v>0.0652173913043479</x:v>
      </x:c>
    </x:row>
    <x:row r="9">
      <x:c r="A9" s="98" t="str">
        <x:v>fev</x:v>
      </x:c>
      <x:c r="B9" s="99" t="n">
        <x:f>IF(Dados!G9="","",Dados!G9)</x:f>
        <x:v>710000</x:v>
      </x:c>
      <x:c r="C9" s="99" t="n">
        <x:f>Dados!F9</x:f>
        <x:v>690000</x:v>
      </x:c>
      <x:c r="D9" s="110" t="n">
        <x:f>Premissas!E17</x:f>
        <x:v>1.0608</x:v>
      </x:c>
      <x:c r="E9" s="99" t="n">
        <x:f>ROUND(C9*D9,2)</x:f>
        <x:v>731952</x:v>
      </x:c>
      <x:c r="F9" s="99" t="n">
        <x:f>ROUND(AVERAGE($C$8:$C$19)*D9,2)</x:f>
        <x:v>479128</x:v>
      </x:c>
      <x:c r="G9" s="99" t="n">
        <x:f>ROUND(IF(B9&lt;&gt;"",B9,IF(COUNT($B$8:$B$19)=0,AVERAGE($C$8:$C$19)*D9,AVERAGE($B$8:$B$19)*D9)),2)</x:f>
        <x:v>710000</x:v>
      </x:c>
      <x:c r="H9" s="99" t="n">
        <x:f>ROUND(Media_Movel!D46,2)</x:f>
        <x:v>710000</x:v>
      </x:c>
      <x:c r="I9" s="99" t="n">
        <x:f>ROUND(MMV!H9,2)</x:f>
        <x:v>662116.25</x:v>
      </x:c>
      <x:c r="J9" s="102" t="n">
        <x:f>ROUND(IF(B9&lt;&gt;"",B9,INDEX(E9:I9,1,MATCH(Premissas!$B$7,$E$6:$I$6,0))),2)</x:f>
        <x:v>710000</x:v>
      </x:c>
      <x:c r="K9" s="111" t="n">
        <x:f>IF(C9=0,0,J9/C9-1)</x:f>
        <x:v>0.02898550724637672</x:v>
      </x:c>
    </x:row>
    <x:row r="10">
      <x:c r="A10" s="98" t="str">
        <x:v>mar</x:v>
      </x:c>
      <x:c r="B10" s="99" t="n">
        <x:f>IF(Dados!G10="","",Dados!G10)</x:f>
        <x:v>1390000</x:v>
      </x:c>
      <x:c r="C10" s="99" t="n">
        <x:f>Dados!F10</x:f>
        <x:v>1320000</x:v>
      </x:c>
      <x:c r="D10" s="110" t="n">
        <x:f>Premissas!E18</x:f>
        <x:v>1.0608</x:v>
      </x:c>
      <x:c r="E10" s="99" t="n">
        <x:f>ROUND(C10*D10,2)</x:f>
        <x:v>1400256</x:v>
      </x:c>
      <x:c r="F10" s="99" t="n">
        <x:f>ROUND(AVERAGE($C$8:$C$19)*D10,2)</x:f>
        <x:v>479128</x:v>
      </x:c>
      <x:c r="G10" s="99" t="n">
        <x:f>ROUND(IF(B10&lt;&gt;"",B10,IF(COUNT($B$8:$B$19)=0,AVERAGE($C$8:$C$19)*D10,AVERAGE($B$8:$B$19)*D10)),2)</x:f>
        <x:v>1390000</x:v>
      </x:c>
      <x:c r="H10" s="99" t="n">
        <x:f>ROUND(Media_Movel!D47,2)</x:f>
        <x:v>1390000</x:v>
      </x:c>
      <x:c r="I10" s="99" t="n">
        <x:f>ROUND(MMV!H10,2)</x:f>
        <x:v>1266657.17</x:v>
      </x:c>
      <x:c r="J10" s="102" t="n">
        <x:f>ROUND(IF(B10&lt;&gt;"",B10,INDEX(E10:I10,1,MATCH(Premissas!$B$7,$E$6:$I$6,0))),2)</x:f>
        <x:v>1390000</x:v>
      </x:c>
      <x:c r="K10" s="111" t="n">
        <x:f>IF(C10=0,0,J10/C10-1)</x:f>
        <x:v>0.05303030303030298</x:v>
      </x:c>
    </x:row>
    <x:row r="11">
      <x:c r="A11" s="98" t="str">
        <x:v>abr</x:v>
      </x:c>
      <x:c r="B11" s="99" t="str">
        <x:f>IF(Dados!G11="","",Dados!G11)</x:f>
      </x:c>
      <x:c r="C11" s="99" t="n">
        <x:f>Dados!F11</x:f>
        <x:v>930000</x:v>
      </x:c>
      <x:c r="D11" s="110" t="n">
        <x:f>Premissas!E19</x:f>
        <x:v>1.0608</x:v>
      </x:c>
      <x:c r="E11" s="99" t="n">
        <x:f>ROUND(C11*D11,2)</x:f>
        <x:v>986544</x:v>
      </x:c>
      <x:c r="F11" s="99" t="n">
        <x:f>ROUND(AVERAGE($C$8:$C$19)*D11,2)</x:f>
        <x:v>479128</x:v>
      </x:c>
      <x:c r="G11" s="99" t="n">
        <x:f>ROUND(IF(B11&lt;&gt;"",B11,IF(COUNT($B$8:$B$19)=0,AVERAGE($C$8:$C$19)*D11,AVERAGE($B$8:$B$19)*D11)),2)</x:f>
        <x:v>915824</x:v>
      </x:c>
      <x:c r="H11" s="99" t="n">
        <x:f>ROUND(Media_Movel!D48,2)</x:f>
        <x:v>489736</x:v>
      </x:c>
      <x:c r="I11" s="99" t="n">
        <x:f>ROUND(MMV!H11,2)</x:f>
        <x:v>892417.55</x:v>
      </x:c>
      <x:c r="J11" s="102" t="n">
        <x:f>ROUND(IF(B11&lt;&gt;"",B11,INDEX(E11:I11,1,MATCH(Premissas!$B$7,$E$6:$I$6,0))),2)</x:f>
        <x:v>892417.55</x:v>
      </x:c>
      <x:c r="K11" s="111" t="n">
        <x:f>IF(C11=0,0,J11/C11-1)</x:f>
        <x:v>-0.040411236559139696</x:v>
      </x:c>
    </x:row>
    <x:row r="12">
      <x:c r="A12" s="98" t="str">
        <x:v>mai</x:v>
      </x:c>
      <x:c r="B12" s="99" t="str">
        <x:f>IF(Dados!G12="","",Dados!G12)</x:f>
      </x:c>
      <x:c r="C12" s="99" t="n">
        <x:f>Dados!F12</x:f>
        <x:v>350000</x:v>
      </x:c>
      <x:c r="D12" s="110" t="n">
        <x:f>Premissas!E20</x:f>
        <x:v>1.0608</x:v>
      </x:c>
      <x:c r="E12" s="99" t="n">
        <x:f>ROUND(C12*D12,2)</x:f>
        <x:v>371280</x:v>
      </x:c>
      <x:c r="F12" s="99" t="n">
        <x:f>ROUND(AVERAGE($C$8:$C$19)*D12,2)</x:f>
        <x:v>479128</x:v>
      </x:c>
      <x:c r="G12" s="99" t="n">
        <x:f>ROUND(IF(B12&lt;&gt;"",B12,IF(COUNT($B$8:$B$19)=0,AVERAGE($C$8:$C$19)*D12,AVERAGE($B$8:$B$19)*D12)),2)</x:f>
        <x:v>915824</x:v>
      </x:c>
      <x:c r="H12" s="99" t="n">
        <x:f>ROUND(Media_Movel!D49,2)</x:f>
        <x:v>450816.66</x:v>
      </x:c>
      <x:c r="I12" s="99" t="n">
        <x:f>ROUND(MMV!H12,2)</x:f>
        <x:v>335856.07</x:v>
      </x:c>
      <x:c r="J12" s="102" t="n">
        <x:f>ROUND(IF(B12&lt;&gt;"",B12,INDEX(E12:I12,1,MATCH(Premissas!$B$7,$E$6:$I$6,0))),2)</x:f>
        <x:v>335856.07</x:v>
      </x:c>
      <x:c r="K12" s="111" t="n">
        <x:f>IF(C12=0,0,J12/C12-1)</x:f>
        <x:v>-0.04041122857142854</x:v>
      </x:c>
    </x:row>
    <x:row r="13">
      <x:c r="A13" s="98" t="str">
        <x:v>jun</x:v>
      </x:c>
      <x:c r="B13" s="99" t="str">
        <x:f>IF(Dados!G13="","",Dados!G13)</x:f>
      </x:c>
      <x:c r="C13" s="99" t="n">
        <x:f>Dados!F13</x:f>
        <x:v>265000</x:v>
      </x:c>
      <x:c r="D13" s="110" t="n">
        <x:f>Premissas!E21</x:f>
        <x:v>1.0608</x:v>
      </x:c>
      <x:c r="E13" s="99" t="n">
        <x:f>ROUND(C13*D13,2)</x:f>
        <x:v>281112</x:v>
      </x:c>
      <x:c r="F13" s="99" t="n">
        <x:f>ROUND(AVERAGE($C$8:$C$19)*D13,2)</x:f>
        <x:v>479128</x:v>
      </x:c>
      <x:c r="G13" s="99" t="n">
        <x:f>ROUND(IF(B13&lt;&gt;"",B13,IF(COUNT($B$8:$B$19)=0,AVERAGE($C$8:$C$19)*D13,AVERAGE($B$8:$B$19)*D13)),2)</x:f>
        <x:v>915824</x:v>
      </x:c>
      <x:c r="H13" s="99" t="n">
        <x:f>ROUND(Media_Movel!D50,2)</x:f>
        <x:v>459728.86</x:v>
      </x:c>
      <x:c r="I13" s="99" t="n">
        <x:f>ROUND(MMV!H13,2)</x:f>
        <x:v>254291.02</x:v>
      </x:c>
      <x:c r="J13" s="102" t="n">
        <x:f>ROUND(IF(B13&lt;&gt;"",B13,INDEX(E13:I13,1,MATCH(Premissas!$B$7,$E$6:$I$6,0))),2)</x:f>
        <x:v>254291.02</x:v>
      </x:c>
      <x:c r="K13" s="111" t="n">
        <x:f>IF(C13=0,0,J13/C13-1)</x:f>
        <x:v>-0.04041124528301887</x:v>
      </x:c>
    </x:row>
    <x:row r="14">
      <x:c r="A14" s="98" t="str">
        <x:v>jul</x:v>
      </x:c>
      <x:c r="B14" s="99" t="str">
        <x:f>IF(Dados!G14="","",Dados!G14)</x:f>
      </x:c>
      <x:c r="C14" s="99" t="n">
        <x:f>Dados!F14</x:f>
        <x:v>255000</x:v>
      </x:c>
      <x:c r="D14" s="110" t="n">
        <x:f>Premissas!E22</x:f>
        <x:v>1.11384</x:v>
      </x:c>
      <x:c r="E14" s="99" t="n">
        <x:f>ROUND(C14*D14,2)</x:f>
        <x:v>284029.2</x:v>
      </x:c>
      <x:c r="F14" s="99" t="n">
        <x:f>ROUND(AVERAGE($C$8:$C$19)*D14,2)</x:f>
        <x:v>503084.4</x:v>
      </x:c>
      <x:c r="G14" s="99" t="n">
        <x:f>ROUND(IF(B14&lt;&gt;"",B14,IF(COUNT($B$8:$B$19)=0,AVERAGE($C$8:$C$19)*D14,AVERAGE($B$8:$B$19)*D14)),2)</x:f>
        <x:v>961615.2</x:v>
      </x:c>
      <x:c r="H14" s="99" t="n">
        <x:f>ROUND(Media_Movel!D51,2)</x:f>
        <x:v>500790.03</x:v>
      </x:c>
      <x:c r="I14" s="99" t="n">
        <x:f>ROUND(MMV!H14,2)</x:f>
        <x:v>256929.89</x:v>
      </x:c>
      <x:c r="J14" s="102" t="n">
        <x:f>ROUND(IF(B14&lt;&gt;"",B14,INDEX(E14:I14,1,MATCH(Premissas!$B$7,$E$6:$I$6,0))),2)</x:f>
        <x:v>256929.89</x:v>
      </x:c>
      <x:c r="K14" s="111" t="n">
        <x:f>IF(C14=0,0,J14/C14-1)</x:f>
        <x:v>0.0075681960784315105</x:v>
      </x:c>
    </x:row>
    <x:row r="15">
      <x:c r="A15" s="98" t="str">
        <x:v>ago</x:v>
      </x:c>
      <x:c r="B15" s="99" t="str">
        <x:f>IF(Dados!G15="","",Dados!G15)</x:f>
      </x:c>
      <x:c r="C15" s="99" t="n">
        <x:f>Dados!F15</x:f>
        <x:v>275000</x:v>
      </x:c>
      <x:c r="D15" s="110" t="n">
        <x:f>Premissas!E23</x:f>
        <x:v>1.11384</x:v>
      </x:c>
      <x:c r="E15" s="99" t="n">
        <x:f>ROUND(C15*D15,2)</x:f>
        <x:v>306306</x:v>
      </x:c>
      <x:c r="F15" s="99" t="n">
        <x:f>ROUND(AVERAGE($C$8:$C$19)*D15,2)</x:f>
        <x:v>503084.4</x:v>
      </x:c>
      <x:c r="G15" s="99" t="n">
        <x:f>ROUND(IF(B15&lt;&gt;"",B15,IF(COUNT($B$8:$B$19)=0,AVERAGE($C$8:$C$19)*D15,AVERAGE($B$8:$B$19)*D15)),2)</x:f>
        <x:v>961615.2</x:v>
      </x:c>
      <x:c r="H15" s="99" t="n">
        <x:f>ROUND(Media_Movel!D52,2)</x:f>
        <x:v>523604.26</x:v>
      </x:c>
      <x:c r="I15" s="99" t="n">
        <x:f>ROUND(MMV!H15,2)</x:f>
        <x:v>277081.26</x:v>
      </x:c>
      <x:c r="J15" s="102" t="n">
        <x:f>ROUND(IF(B15&lt;&gt;"",B15,INDEX(E15:I15,1,MATCH(Premissas!$B$7,$E$6:$I$6,0))),2)</x:f>
        <x:v>277081.26</x:v>
      </x:c>
      <x:c r="K15" s="111" t="n">
        <x:f>IF(C15=0,0,J15/C15-1)</x:f>
        <x:v>0.007568218181818187</x:v>
      </x:c>
    </x:row>
    <x:row r="16">
      <x:c r="A16" s="98" t="str">
        <x:v>set</x:v>
      </x:c>
      <x:c r="B16" s="99" t="str">
        <x:f>IF(Dados!G16="","",Dados!G16)</x:f>
      </x:c>
      <x:c r="C16" s="99" t="n">
        <x:f>Dados!F16</x:f>
        <x:v>-120000</x:v>
      </x:c>
      <x:c r="D16" s="110" t="n">
        <x:f>Premissas!E24</x:f>
        <x:v>1.11384</x:v>
      </x:c>
      <x:c r="E16" s="99" t="n">
        <x:f>ROUND(C16*D16,2)</x:f>
        <x:v>-133660.8</x:v>
      </x:c>
      <x:c r="F16" s="99" t="n">
        <x:f>ROUND(AVERAGE($C$8:$C$19)*D16,2)</x:f>
        <x:v>503084.4</x:v>
      </x:c>
      <x:c r="G16" s="99" t="n">
        <x:f>ROUND(IF(B16&lt;&gt;"",B16,IF(COUNT($B$8:$B$19)=0,AVERAGE($C$8:$C$19)*D16,AVERAGE($B$8:$B$19)*D16)),2)</x:f>
        <x:v>961615.2</x:v>
      </x:c>
      <x:c r="H16" s="99" t="n">
        <x:f>ROUND(Media_Movel!D53,2)</x:f>
        <x:v>546679.71</x:v>
      </x:c>
      <x:c r="I16" s="99" t="n">
        <x:f>ROUND(MMV!H16,2)</x:f>
        <x:v>455084.97</x:v>
      </x:c>
      <x:c r="J16" s="102" t="n">
        <x:f>ROUND(IF(B16&lt;&gt;"",B16,INDEX(E16:I16,1,MATCH(Premissas!$B$7,$E$6:$I$6,0))),2)</x:f>
        <x:v>455084.97</x:v>
      </x:c>
      <x:c r="K16" s="111" t="n">
        <x:f>IF(C16=0,0,J16/C16-1)</x:f>
        <x:v>-4.79237475</x:v>
      </x:c>
    </x:row>
    <x:row r="17">
      <x:c r="A17" s="98" t="str">
        <x:v>out</x:v>
      </x:c>
      <x:c r="B17" s="99" t="str">
        <x:f>IF(Dados!G17="","",Dados!G17)</x:f>
      </x:c>
      <x:c r="C17" s="99" t="n">
        <x:f>Dados!F17</x:f>
        <x:v>295000</x:v>
      </x:c>
      <x:c r="D17" s="110" t="n">
        <x:f>Premissas!E25</x:f>
        <x:v>1.11384</x:v>
      </x:c>
      <x:c r="E17" s="99" t="n">
        <x:f>ROUND(C17*D17,2)</x:f>
        <x:v>328582.8</x:v>
      </x:c>
      <x:c r="F17" s="99" t="n">
        <x:f>ROUND(AVERAGE($C$8:$C$19)*D17,2)</x:f>
        <x:v>503084.4</x:v>
      </x:c>
      <x:c r="G17" s="99" t="n">
        <x:f>ROUND(IF(B17&lt;&gt;"",B17,IF(COUNT($B$8:$B$19)=0,AVERAGE($C$8:$C$19)*D17,AVERAGE($B$8:$B$19)*D17)),2)</x:f>
        <x:v>961615.2</x:v>
      </x:c>
      <x:c r="H17" s="99" t="n">
        <x:f>ROUND(Media_Movel!D54,2)</x:f>
        <x:v>608560.92</x:v>
      </x:c>
      <x:c r="I17" s="99" t="n">
        <x:f>ROUND(MMV!H17,2)</x:f>
        <x:v>297232.62</x:v>
      </x:c>
      <x:c r="J17" s="102" t="n">
        <x:f>ROUND(IF(B17&lt;&gt;"",B17,INDEX(E17:I17,1,MATCH(Premissas!$B$7,$E$6:$I$6,0))),2)</x:f>
        <x:v>297232.62</x:v>
      </x:c>
      <x:c r="K17" s="111" t="n">
        <x:f>IF(C17=0,0,J17/C17-1)</x:f>
        <x:v>0.007568203389830552</x:v>
      </x:c>
    </x:row>
    <x:row r="18">
      <x:c r="A18" s="98" t="str">
        <x:v>nov</x:v>
      </x:c>
      <x:c r="B18" s="99" t="str">
        <x:f>IF(Dados!G18="","",Dados!G18)</x:f>
      </x:c>
      <x:c r="C18" s="99" t="n">
        <x:f>Dados!F18</x:f>
        <x:v>330000</x:v>
      </x:c>
      <x:c r="D18" s="110" t="n">
        <x:f>Premissas!E26</x:f>
        <x:v>1.11384</x:v>
      </x:c>
      <x:c r="E18" s="99" t="n">
        <x:f>ROUND(C18*D18,2)</x:f>
        <x:v>367567.2</x:v>
      </x:c>
      <x:c r="F18" s="99" t="n">
        <x:f>ROUND(AVERAGE($C$8:$C$19)*D18,2)</x:f>
        <x:v>503084.4</x:v>
      </x:c>
      <x:c r="G18" s="99" t="n">
        <x:f>ROUND(IF(B18&lt;&gt;"",B18,IF(COUNT($B$8:$B$19)=0,AVERAGE($C$8:$C$19)*D18,AVERAGE($B$8:$B$19)*D18)),2)</x:f>
        <x:v>961615.2</x:v>
      </x:c>
      <x:c r="H18" s="99" t="n">
        <x:f>ROUND(Media_Movel!D55,2)</x:f>
        <x:v>637665.64</x:v>
      </x:c>
      <x:c r="I18" s="99" t="n">
        <x:f>ROUND(MMV!H18,2)</x:f>
        <x:v>332497.51</x:v>
      </x:c>
      <x:c r="J18" s="102" t="n">
        <x:f>ROUND(IF(B18&lt;&gt;"",B18,INDEX(E18:I18,1,MATCH(Premissas!$B$7,$E$6:$I$6,0))),2)</x:f>
        <x:v>332497.51</x:v>
      </x:c>
      <x:c r="K18" s="111" t="n">
        <x:f>IF(C18=0,0,J18/C18-1)</x:f>
        <x:v>0.00756821212121217</x:v>
      </x:c>
    </x:row>
    <x:row r="19">
      <x:c r="A19" s="98" t="str">
        <x:v>dez</x:v>
      </x:c>
      <x:c r="B19" s="99" t="str">
        <x:f>IF(Dados!G19="","",Dados!G19)</x:f>
      </x:c>
      <x:c r="C19" s="99" t="n">
        <x:f>Dados!F19</x:f>
        <x:v>370000</x:v>
      </x:c>
      <x:c r="D19" s="110" t="n">
        <x:f>Premissas!E27</x:f>
        <x:v>1.11384</x:v>
      </x:c>
      <x:c r="E19" s="99" t="n">
        <x:f>ROUND(C19*D19,2)</x:f>
        <x:v>412120.8</x:v>
      </x:c>
      <x:c r="F19" s="99" t="n">
        <x:f>ROUND(AVERAGE($C$8:$C$19)*D19,2)</x:f>
        <x:v>503084.4</x:v>
      </x:c>
      <x:c r="G19" s="99" t="n">
        <x:f>ROUND(IF(B19&lt;&gt;"",B19,IF(COUNT($B$8:$B$19)=0,AVERAGE($C$8:$C$19)*D19,AVERAGE($B$8:$B$19)*D19)),2)</x:f>
        <x:v>961615.2</x:v>
      </x:c>
      <x:c r="H19" s="99" t="n">
        <x:f>ROUND(Media_Movel!D56,2)</x:f>
        <x:v>666223.17</x:v>
      </x:c>
      <x:c r="I19" s="99" t="n">
        <x:f>ROUND(MMV!H19,2)</x:f>
        <x:v>372800.23</x:v>
      </x:c>
      <x:c r="J19" s="102" t="n">
        <x:f>ROUND(IF(B19&lt;&gt;"",B19,INDEX(E19:I19,1,MATCH(Premissas!$B$7,$E$6:$I$6,0))),2)</x:f>
        <x:v>372800.23</x:v>
      </x:c>
      <x:c r="K19" s="111" t="n">
        <x:f>IF(C19=0,0,J19/C19-1)</x:f>
        <x:v>0.007568189189189223</x:v>
      </x:c>
    </x:row>
    <x:row r="20">
      <x:c r="A20" s="39" t="str">
        <x:v>Total</x:v>
      </x:c>
      <x:c r="B20" s="44" t="n">
        <x:f>SUM(B8:B19)</x:f>
        <x:v>2590000</x:v>
      </x:c>
      <x:c r="C20" s="44" t="n">
        <x:f>SUM(C8:C19)</x:f>
        <x:v>5420000</x:v>
      </x:c>
      <x:c r="D20" s="44"/>
      <x:c r="E20" s="44" t="n">
        <x:f>SUM(E8:E19)</x:f>
        <x:v>5824057.2</x:v>
      </x:c>
      <x:c r="F20" s="44" t="n">
        <x:f>SUM(F8:F19)</x:f>
        <x:v>5893274.400000001</x:v>
      </x:c>
      <x:c r="G20" s="44" t="n">
        <x:f>SUM(G8:G19)</x:f>
        <x:v>11107163.2</x:v>
      </x:c>
      <x:c r="H20" s="44" t="n">
        <x:f>SUM(H8:H19)</x:f>
        <x:v>7473805.249999999</x:v>
      </x:c>
      <x:c r="I20" s="44" t="n">
        <x:f>SUM(I8:I19)</x:f>
        <x:v>5844375.369999999</x:v>
      </x:c>
      <x:c r="J20" s="44" t="n">
        <x:f>SUM(J8:J19)</x:f>
        <x:v>6064191.119999999</x:v>
      </x:c>
      <x:c r="K20" s="61" t="n">
        <x:f>IF(C20=0,0,J20/C20-1)</x:f>
        <x:v>0.11885445018450169</x:v>
      </x:c>
    </x:row>
    <x:row r="21">
      <x:c r="A21" s="97"/>
      <x:c r="B21" s="97"/>
      <x:c r="C21" s="97"/>
      <x:c r="D21" s="97"/>
      <x:c r="E21" s="97"/>
      <x:c r="F21" s="97"/>
      <x:c r="G21" s="97"/>
      <x:c r="H21" s="97"/>
      <x:c r="I21" s="97"/>
      <x:c r="J21" s="97"/>
      <x:c r="K21" s="97"/>
    </x:row>
    <x:row r="22">
      <x:c r="A22" s="97"/>
      <x:c r="B22" s="97"/>
      <x:c r="C22" s="97"/>
      <x:c r="D22" s="97"/>
      <x:c r="E22" s="97"/>
      <x:c r="F22" s="97"/>
      <x:c r="G22" s="97"/>
      <x:c r="H22" s="97"/>
      <x:c r="I22" s="97"/>
      <x:c r="J22" s="97"/>
      <x:c r="K22" s="97"/>
    </x:row>
    <x:row r="23">
      <x:c r="A23" s="105" t="str">
        <x:v>Leitura: as colunas E:I são cenários técnicos, não alternativas para escolher o maior valor. Na reestimativa, a coluna J conserva os meses realizados e projeta apenas os meses faltantes. A Média Ajustada usa a média dos meses do ano-alvo já informados; sem realizados, recorre à média da base.</x:v>
      </x:c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</x:row>
    <x:row r="24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</x:row>
    <x:row r="25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</x:row>
    <x:row r="26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</x:row>
  </x:sheetData>
  <x:mergeCells>
    <x:mergeCell ref="A1:K2"/>
    <x:mergeCell ref="A3:K3"/>
    <x:mergeCell ref="A23:K26"/>
  </x:mergeCells>
  <x:conditionalFormatting sqref="K8:K19">
    <x:cfRule type="colorScale" priority="1">
      <x:colorScale>
        <x:cfvo type="min"/>
        <x:cfvo type="percentile" val="50"/>
        <x:cfvo type="max"/>
        <x:color rgb="FFFDECEC"/>
        <x:color rgb="FFFFFFFF"/>
        <x:color rgb="FFDFF3E4"/>
      </x:colorScale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16" hidden="0" customWidth="1"/>
    <x:col min="3" max="3" width="20" hidden="0" customWidth="1"/>
    <x:col min="4" max="4" width="20" hidden="0" customWidth="1"/>
    <x:col min="5" max="5" width="24" hidden="0" customWidth="1"/>
    <x:col min="6" max="6" width="16" hidden="0" customWidth="1"/>
  </x:cols>
  <x:sheetData>
    <x:row r="1" ht="36" customHeight="1">
      <x:c r="A1" s="5" t="str">
        <x:v>Memória de cálculo — Média Móvel</x:v>
      </x:c>
      <x:c r="B1" s="5" t="str">
        <x:v>Memória de cálculo — Média Móvel</x:v>
      </x:c>
      <x:c r="C1" s="5" t="str">
        <x:v>Memória de cálculo — Média Móvel</x:v>
      </x:c>
      <x:c r="D1" s="5" t="str">
        <x:v>Memória de cálculo — Média Móvel</x:v>
      </x:c>
      <x:c r="E1" s="5" t="str">
        <x:v>Memória de cálculo — Média Móvel</x:v>
      </x:c>
      <x:c r="F1" s="5" t="str">
        <x:v>Memória de cálculo — Média Móvel</x:v>
      </x:c>
    </x:row>
    <x:row r="2" ht="36" customHeight="1">
      <x:c r="A2" s="5" t="str">
        <x:v>Memória de cálculo — Média Móvel</x:v>
      </x:c>
      <x:c r="B2" s="5" t="str">
        <x:v>Memória de cálculo — Média Móvel</x:v>
      </x:c>
      <x:c r="C2" s="5" t="str">
        <x:v>Memória de cálculo — Média Móvel</x:v>
      </x:c>
      <x:c r="D2" s="5" t="str">
        <x:v>Memória de cálculo — Média Móvel</x:v>
      </x:c>
      <x:c r="E2" s="5" t="str">
        <x:v>Memória de cálculo — Média Móvel</x:v>
      </x:c>
      <x:c r="F2" s="5" t="str">
        <x:v>Memória de cálculo — Média Móvel</x:v>
      </x:c>
    </x:row>
    <x:row r="3" ht="30" customHeight="1">
      <x:c r="A3" s="8" t="str">
        <x:v>A janela é definida em Premissas. Para meses futuros, a média incorpora projeções anteriores, como no exemplo recursivo do MDF.</x:v>
      </x:c>
      <x:c r="B3" s="8" t="str">
        <x:v>A janela é definida em Premissas. Para meses futuros, a média incorpora projeções anteriores, como no exemplo recursivo do MDF.</x:v>
      </x:c>
      <x:c r="C3" s="8" t="str">
        <x:v>A janela é definida em Premissas. Para meses futuros, a média incorpora projeções anteriores, como no exemplo recursivo do MDF.</x:v>
      </x:c>
      <x:c r="D3" s="8" t="str">
        <x:v>A janela é definida em Premissas. Para meses futuros, a média incorpora projeções anteriores, como no exemplo recursivo do MDF.</x:v>
      </x:c>
      <x:c r="E3" s="8" t="str">
        <x:v>A janela é definida em Premissas. Para meses futuros, a média incorpora projeções anteriores, como no exemplo recursivo do MDF.</x:v>
      </x:c>
      <x:c r="F3" s="8" t="str">
        <x:v>A janela é definida em Premissas. Para meses futuros, a média incorpora projeções anteriores, como no exemplo recursivo do MDF.</x:v>
      </x:c>
    </x:row>
    <x:row r="4">
      <x:c r="A4" s="112" t="str">
        <x:v>Janela selecionada</x:v>
      </x:c>
      <x:c r="B4" s="98" t="n">
        <x:f>Premissas!B8</x:f>
        <x:v>12</x:v>
      </x:c>
      <x:c r="C4" s="97"/>
      <x:c r="D4" s="97"/>
      <x:c r="E4" s="97"/>
      <x:c r="F4" s="97"/>
    </x:row>
    <x:row r="5">
      <x:c r="A5" s="112" t="str">
        <x:v>Observações</x:v>
      </x:c>
      <x:c r="B5" s="98" t="str">
        <x:v>3, 6, 12 ou 24 meses</x:v>
      </x:c>
      <x:c r="C5" s="97"/>
      <x:c r="D5" s="97"/>
      <x:c r="E5" s="97"/>
      <x:c r="F5" s="97"/>
    </x:row>
    <x:row r="6">
      <x:c r="A6" s="97"/>
      <x:c r="B6" s="97"/>
      <x:c r="C6" s="97"/>
      <x:c r="D6" s="97"/>
      <x:c r="E6" s="97"/>
      <x:c r="F6" s="97"/>
    </x:row>
    <x:row r="7">
      <x:c r="A7" s="97"/>
      <x:c r="B7" s="97"/>
      <x:c r="C7" s="97"/>
      <x:c r="D7" s="97"/>
      <x:c r="E7" s="97"/>
      <x:c r="F7" s="97"/>
    </x:row>
    <x:row r="8">
      <x:c r="A8" s="26" t="str">
        <x:v>Seq.</x:v>
      </x:c>
      <x:c r="B8" s="26" t="str">
        <x:v>Competência</x:v>
      </x:c>
      <x:c r="C8" s="26" t="str">
        <x:v>Valor informado</x:v>
      </x:c>
      <x:c r="D8" s="26" t="str">
        <x:v>Série usada</x:v>
      </x:c>
      <x:c r="E8" s="26" t="str">
        <x:v>Situação</x:v>
      </x:c>
      <x:c r="F8" s="26" t="str">
        <x:v>Fator total</x:v>
      </x:c>
    </x:row>
    <x:row r="9">
      <x:c r="A9" s="98" t="n">
        <x:v>1</x:v>
      </x:c>
      <x:c r="B9" s="98" t="str">
        <x:v>jan/2023</x:v>
      </x:c>
      <x:c r="C9" s="99" t="n">
        <x:f>Dados!B8</x:f>
        <x:v>410000</x:v>
      </x:c>
      <x:c r="D9" s="99" t="n">
        <x:f>C9</x:f>
        <x:v>410000</x:v>
      </x:c>
      <x:c r="E9" s="98" t="str">
        <x:v>Realizado histórico</x:v>
      </x:c>
      <x:c r="F9" s="110" t="n">
        <x:v>1</x:v>
      </x:c>
    </x:row>
    <x:row r="10">
      <x:c r="A10" s="98" t="n">
        <x:v>2</x:v>
      </x:c>
      <x:c r="B10" s="98" t="str">
        <x:v>fev/2023</x:v>
      </x:c>
      <x:c r="C10" s="99" t="n">
        <x:f>Dados!B9</x:f>
        <x:v>585000</x:v>
      </x:c>
      <x:c r="D10" s="99" t="n">
        <x:f>C10</x:f>
        <x:v>585000</x:v>
      </x:c>
      <x:c r="E10" s="98" t="str">
        <x:v>Realizado histórico</x:v>
      </x:c>
      <x:c r="F10" s="110" t="n">
        <x:v>1</x:v>
      </x:c>
    </x:row>
    <x:row r="11">
      <x:c r="A11" s="98" t="n">
        <x:v>3</x:v>
      </x:c>
      <x:c r="B11" s="98" t="str">
        <x:v>mar/2023</x:v>
      </x:c>
      <x:c r="C11" s="99" t="n">
        <x:f>Dados!B10</x:f>
        <x:v>1080000</x:v>
      </x:c>
      <x:c r="D11" s="99" t="n">
        <x:f>C11</x:f>
        <x:v>1080000</x:v>
      </x:c>
      <x:c r="E11" s="98" t="str">
        <x:v>Realizado histórico</x:v>
      </x:c>
      <x:c r="F11" s="110" t="n">
        <x:v>1</x:v>
      </x:c>
    </x:row>
    <x:row r="12">
      <x:c r="A12" s="98" t="n">
        <x:v>4</x:v>
      </x:c>
      <x:c r="B12" s="98" t="str">
        <x:v>abr/2023</x:v>
      </x:c>
      <x:c r="C12" s="99" t="n">
        <x:f>Dados!B11</x:f>
        <x:v>805000</x:v>
      </x:c>
      <x:c r="D12" s="99" t="n">
        <x:f>C12</x:f>
        <x:v>805000</x:v>
      </x:c>
      <x:c r="E12" s="98" t="str">
        <x:v>Realizado histórico</x:v>
      </x:c>
      <x:c r="F12" s="110" t="n">
        <x:v>1</x:v>
      </x:c>
    </x:row>
    <x:row r="13">
      <x:c r="A13" s="98" t="n">
        <x:v>5</x:v>
      </x:c>
      <x:c r="B13" s="98" t="str">
        <x:v>mai/2023</x:v>
      </x:c>
      <x:c r="C13" s="99" t="n">
        <x:f>Dados!B12</x:f>
        <x:v>305000</x:v>
      </x:c>
      <x:c r="D13" s="99" t="n">
        <x:f>C13</x:f>
        <x:v>305000</x:v>
      </x:c>
      <x:c r="E13" s="98" t="str">
        <x:v>Realizado histórico</x:v>
      </x:c>
      <x:c r="F13" s="110" t="n">
        <x:v>1</x:v>
      </x:c>
    </x:row>
    <x:row r="14">
      <x:c r="A14" s="98" t="n">
        <x:v>6</x:v>
      </x:c>
      <x:c r="B14" s="98" t="str">
        <x:v>jun/2023</x:v>
      </x:c>
      <x:c r="C14" s="99" t="n">
        <x:f>Dados!B13</x:f>
        <x:v>225000</x:v>
      </x:c>
      <x:c r="D14" s="99" t="n">
        <x:f>C14</x:f>
        <x:v>225000</x:v>
      </x:c>
      <x:c r="E14" s="98" t="str">
        <x:v>Realizado histórico</x:v>
      </x:c>
      <x:c r="F14" s="110" t="n">
        <x:v>1</x:v>
      </x:c>
    </x:row>
    <x:row r="15">
      <x:c r="A15" s="98" t="n">
        <x:v>7</x:v>
      </x:c>
      <x:c r="B15" s="98" t="str">
        <x:v>jul/2023</x:v>
      </x:c>
      <x:c r="C15" s="99" t="n">
        <x:f>Dados!B14</x:f>
        <x:v>218000</x:v>
      </x:c>
      <x:c r="D15" s="99" t="n">
        <x:f>C15</x:f>
        <x:v>218000</x:v>
      </x:c>
      <x:c r="E15" s="98" t="str">
        <x:v>Realizado histórico</x:v>
      </x:c>
      <x:c r="F15" s="110" t="n">
        <x:v>1</x:v>
      </x:c>
    </x:row>
    <x:row r="16">
      <x:c r="A16" s="98" t="n">
        <x:v>8</x:v>
      </x:c>
      <x:c r="B16" s="98" t="str">
        <x:v>ago/2023</x:v>
      </x:c>
      <x:c r="C16" s="99" t="n">
        <x:f>Dados!B15</x:f>
        <x:v>238000</x:v>
      </x:c>
      <x:c r="D16" s="99" t="n">
        <x:f>C16</x:f>
        <x:v>238000</x:v>
      </x:c>
      <x:c r="E16" s="98" t="str">
        <x:v>Realizado histórico</x:v>
      </x:c>
      <x:c r="F16" s="110" t="n">
        <x:v>1</x:v>
      </x:c>
    </x:row>
    <x:row r="17">
      <x:c r="A17" s="98" t="n">
        <x:v>9</x:v>
      </x:c>
      <x:c r="B17" s="98" t="str">
        <x:v>set/2023</x:v>
      </x:c>
      <x:c r="C17" s="99" t="n">
        <x:f>Dados!B16</x:f>
        <x:v>245000</x:v>
      </x:c>
      <x:c r="D17" s="99" t="n">
        <x:f>C17</x:f>
        <x:v>245000</x:v>
      </x:c>
      <x:c r="E17" s="98" t="str">
        <x:v>Realizado histórico</x:v>
      </x:c>
      <x:c r="F17" s="110" t="n">
        <x:v>1</x:v>
      </x:c>
    </x:row>
    <x:row r="18">
      <x:c r="A18" s="98" t="n">
        <x:v>10</x:v>
      </x:c>
      <x:c r="B18" s="98" t="str">
        <x:v>out/2023</x:v>
      </x:c>
      <x:c r="C18" s="99" t="n">
        <x:f>Dados!B17</x:f>
        <x:v>252000</x:v>
      </x:c>
      <x:c r="D18" s="99" t="n">
        <x:f>C18</x:f>
        <x:v>252000</x:v>
      </x:c>
      <x:c r="E18" s="98" t="str">
        <x:v>Realizado histórico</x:v>
      </x:c>
      <x:c r="F18" s="110" t="n">
        <x:v>1</x:v>
      </x:c>
    </x:row>
    <x:row r="19">
      <x:c r="A19" s="98" t="n">
        <x:v>11</x:v>
      </x:c>
      <x:c r="B19" s="98" t="str">
        <x:v>nov/2023</x:v>
      </x:c>
      <x:c r="C19" s="99" t="n">
        <x:f>Dados!B18</x:f>
        <x:v>282000</x:v>
      </x:c>
      <x:c r="D19" s="99" t="n">
        <x:f>C19</x:f>
        <x:v>282000</x:v>
      </x:c>
      <x:c r="E19" s="98" t="str">
        <x:v>Realizado histórico</x:v>
      </x:c>
      <x:c r="F19" s="110" t="n">
        <x:v>1</x:v>
      </x:c>
    </x:row>
    <x:row r="20">
      <x:c r="A20" s="98" t="n">
        <x:v>12</x:v>
      </x:c>
      <x:c r="B20" s="98" t="str">
        <x:v>dez/2023</x:v>
      </x:c>
      <x:c r="C20" s="99" t="n">
        <x:f>Dados!B19</x:f>
        <x:v>315000</x:v>
      </x:c>
      <x:c r="D20" s="99" t="n">
        <x:f>C20</x:f>
        <x:v>315000</x:v>
      </x:c>
      <x:c r="E20" s="98" t="str">
        <x:v>Realizado histórico</x:v>
      </x:c>
      <x:c r="F20" s="110" t="n">
        <x:v>1</x:v>
      </x:c>
    </x:row>
    <x:row r="21">
      <x:c r="A21" s="98" t="n">
        <x:v>13</x:v>
      </x:c>
      <x:c r="B21" s="98" t="str">
        <x:v>jan/2024</x:v>
      </x:c>
      <x:c r="C21" s="99" t="n">
        <x:f>Dados!C8</x:f>
        <x:v>435000</x:v>
      </x:c>
      <x:c r="D21" s="99" t="n">
        <x:f>C21</x:f>
        <x:v>435000</x:v>
      </x:c>
      <x:c r="E21" s="98" t="str">
        <x:v>Realizado histórico</x:v>
      </x:c>
      <x:c r="F21" s="110" t="n">
        <x:v>1</x:v>
      </x:c>
    </x:row>
    <x:row r="22">
      <x:c r="A22" s="98" t="n">
        <x:v>14</x:v>
      </x:c>
      <x:c r="B22" s="98" t="str">
        <x:v>fev/2024</x:v>
      </x:c>
      <x:c r="C22" s="99" t="n">
        <x:f>Dados!C9</x:f>
        <x:v>625000</x:v>
      </x:c>
      <x:c r="D22" s="99" t="n">
        <x:f>C22</x:f>
        <x:v>625000</x:v>
      </x:c>
      <x:c r="E22" s="98" t="str">
        <x:v>Realizado histórico</x:v>
      </x:c>
      <x:c r="F22" s="110" t="n">
        <x:v>1</x:v>
      </x:c>
    </x:row>
    <x:row r="23">
      <x:c r="A23" s="98" t="n">
        <x:v>15</x:v>
      </x:c>
      <x:c r="B23" s="98" t="str">
        <x:v>mar/2024</x:v>
      </x:c>
      <x:c r="C23" s="99" t="n">
        <x:f>Dados!C10</x:f>
        <x:v>1185000</x:v>
      </x:c>
      <x:c r="D23" s="99" t="n">
        <x:f>C23</x:f>
        <x:v>1185000</x:v>
      </x:c>
      <x:c r="E23" s="98" t="str">
        <x:v>Realizado histórico</x:v>
      </x:c>
      <x:c r="F23" s="110" t="n">
        <x:v>1</x:v>
      </x:c>
    </x:row>
    <x:row r="24">
      <x:c r="A24" s="98" t="n">
        <x:v>16</x:v>
      </x:c>
      <x:c r="B24" s="98" t="str">
        <x:v>abr/2024</x:v>
      </x:c>
      <x:c r="C24" s="99" t="n">
        <x:f>Dados!C11</x:f>
        <x:v>862000</x:v>
      </x:c>
      <x:c r="D24" s="99" t="n">
        <x:f>C24</x:f>
        <x:v>862000</x:v>
      </x:c>
      <x:c r="E24" s="98" t="str">
        <x:v>Realizado histórico</x:v>
      </x:c>
      <x:c r="F24" s="110" t="n">
        <x:v>1</x:v>
      </x:c>
    </x:row>
    <x:row r="25">
      <x:c r="A25" s="98" t="n">
        <x:v>17</x:v>
      </x:c>
      <x:c r="B25" s="98" t="str">
        <x:v>mai/2024</x:v>
      </x:c>
      <x:c r="C25" s="99" t="n">
        <x:f>Dados!C12</x:f>
        <x:v>325000</x:v>
      </x:c>
      <x:c r="D25" s="99" t="n">
        <x:f>C25</x:f>
        <x:v>325000</x:v>
      </x:c>
      <x:c r="E25" s="98" t="str">
        <x:v>Realizado histórico</x:v>
      </x:c>
      <x:c r="F25" s="110" t="n">
        <x:v>1</x:v>
      </x:c>
    </x:row>
    <x:row r="26">
      <x:c r="A26" s="98" t="n">
        <x:v>18</x:v>
      </x:c>
      <x:c r="B26" s="98" t="str">
        <x:v>jun/2024</x:v>
      </x:c>
      <x:c r="C26" s="99" t="n">
        <x:f>Dados!C13</x:f>
        <x:v>245000</x:v>
      </x:c>
      <x:c r="D26" s="99" t="n">
        <x:f>C26</x:f>
        <x:v>245000</x:v>
      </x:c>
      <x:c r="E26" s="98" t="str">
        <x:v>Realizado histórico</x:v>
      </x:c>
      <x:c r="F26" s="110" t="n">
        <x:v>1</x:v>
      </x:c>
    </x:row>
    <x:row r="27">
      <x:c r="A27" s="98" t="n">
        <x:v>19</x:v>
      </x:c>
      <x:c r="B27" s="98" t="str">
        <x:v>jul/2024</x:v>
      </x:c>
      <x:c r="C27" s="99" t="n">
        <x:f>Dados!C14</x:f>
        <x:v>235000</x:v>
      </x:c>
      <x:c r="D27" s="99" t="n">
        <x:f>C27</x:f>
        <x:v>235000</x:v>
      </x:c>
      <x:c r="E27" s="98" t="str">
        <x:v>Realizado histórico</x:v>
      </x:c>
      <x:c r="F27" s="110" t="n">
        <x:v>1</x:v>
      </x:c>
    </x:row>
    <x:row r="28">
      <x:c r="A28" s="98" t="n">
        <x:v>20</x:v>
      </x:c>
      <x:c r="B28" s="98" t="str">
        <x:v>ago/2024</x:v>
      </x:c>
      <x:c r="C28" s="99" t="n">
        <x:f>Dados!C15</x:f>
        <x:v>252000</x:v>
      </x:c>
      <x:c r="D28" s="99" t="n">
        <x:f>C28</x:f>
        <x:v>252000</x:v>
      </x:c>
      <x:c r="E28" s="98" t="str">
        <x:v>Realizado histórico</x:v>
      </x:c>
      <x:c r="F28" s="110" t="n">
        <x:v>1</x:v>
      </x:c>
    </x:row>
    <x:row r="29">
      <x:c r="A29" s="98" t="n">
        <x:v>21</x:v>
      </x:c>
      <x:c r="B29" s="98" t="str">
        <x:v>set/2024</x:v>
      </x:c>
      <x:c r="C29" s="99" t="n">
        <x:f>Dados!C16</x:f>
        <x:v>265000</x:v>
      </x:c>
      <x:c r="D29" s="99" t="n">
        <x:f>C29</x:f>
        <x:v>265000</x:v>
      </x:c>
      <x:c r="E29" s="98" t="str">
        <x:v>Realizado histórico</x:v>
      </x:c>
      <x:c r="F29" s="110" t="n">
        <x:v>1</x:v>
      </x:c>
    </x:row>
    <x:row r="30">
      <x:c r="A30" s="98" t="n">
        <x:v>22</x:v>
      </x:c>
      <x:c r="B30" s="98" t="str">
        <x:v>out/2024</x:v>
      </x:c>
      <x:c r="C30" s="99" t="n">
        <x:f>Dados!C17</x:f>
        <x:v>275000</x:v>
      </x:c>
      <x:c r="D30" s="99" t="n">
        <x:f>C30</x:f>
        <x:v>275000</x:v>
      </x:c>
      <x:c r="E30" s="98" t="str">
        <x:v>Realizado histórico</x:v>
      </x:c>
      <x:c r="F30" s="110" t="n">
        <x:v>1</x:v>
      </x:c>
    </x:row>
    <x:row r="31">
      <x:c r="A31" s="98" t="n">
        <x:v>23</x:v>
      </x:c>
      <x:c r="B31" s="98" t="str">
        <x:v>nov/2024</x:v>
      </x:c>
      <x:c r="C31" s="99" t="n">
        <x:f>Dados!C18</x:f>
        <x:v>305000</x:v>
      </x:c>
      <x:c r="D31" s="99" t="n">
        <x:f>C31</x:f>
        <x:v>305000</x:v>
      </x:c>
      <x:c r="E31" s="98" t="str">
        <x:v>Realizado histórico</x:v>
      </x:c>
      <x:c r="F31" s="110" t="n">
        <x:v>1</x:v>
      </x:c>
    </x:row>
    <x:row r="32">
      <x:c r="A32" s="98" t="n">
        <x:v>24</x:v>
      </x:c>
      <x:c r="B32" s="98" t="str">
        <x:v>dez/2024</x:v>
      </x:c>
      <x:c r="C32" s="99" t="n">
        <x:f>Dados!C19</x:f>
        <x:v>342000</x:v>
      </x:c>
      <x:c r="D32" s="99" t="n">
        <x:f>C32</x:f>
        <x:v>342000</x:v>
      </x:c>
      <x:c r="E32" s="98" t="str">
        <x:v>Realizado histórico</x:v>
      </x:c>
      <x:c r="F32" s="110" t="n">
        <x:v>1</x:v>
      </x:c>
    </x:row>
    <x:row r="33">
      <x:c r="A33" s="98" t="n">
        <x:v>25</x:v>
      </x:c>
      <x:c r="B33" s="98" t="str">
        <x:v>jan/2025</x:v>
      </x:c>
      <x:c r="C33" s="99" t="n">
        <x:f>Dados!F8</x:f>
        <x:v>460000</x:v>
      </x:c>
      <x:c r="D33" s="99" t="n">
        <x:f>C33</x:f>
        <x:v>460000</x:v>
      </x:c>
      <x:c r="E33" s="98" t="str">
        <x:v>Realizado histórico</x:v>
      </x:c>
      <x:c r="F33" s="110" t="n">
        <x:v>1</x:v>
      </x:c>
    </x:row>
    <x:row r="34">
      <x:c r="A34" s="98" t="n">
        <x:v>26</x:v>
      </x:c>
      <x:c r="B34" s="98" t="str">
        <x:v>fev/2025</x:v>
      </x:c>
      <x:c r="C34" s="99" t="n">
        <x:f>Dados!F9</x:f>
        <x:v>690000</x:v>
      </x:c>
      <x:c r="D34" s="99" t="n">
        <x:f>C34</x:f>
        <x:v>690000</x:v>
      </x:c>
      <x:c r="E34" s="98" t="str">
        <x:v>Realizado histórico</x:v>
      </x:c>
      <x:c r="F34" s="110" t="n">
        <x:v>1</x:v>
      </x:c>
    </x:row>
    <x:row r="35">
      <x:c r="A35" s="98" t="n">
        <x:v>27</x:v>
      </x:c>
      <x:c r="B35" s="98" t="str">
        <x:v>mar/2025</x:v>
      </x:c>
      <x:c r="C35" s="99" t="n">
        <x:f>Dados!F10</x:f>
        <x:v>1320000</x:v>
      </x:c>
      <x:c r="D35" s="99" t="n">
        <x:f>C35</x:f>
        <x:v>1320000</x:v>
      </x:c>
      <x:c r="E35" s="98" t="str">
        <x:v>Realizado histórico</x:v>
      </x:c>
      <x:c r="F35" s="110" t="n">
        <x:v>1</x:v>
      </x:c>
    </x:row>
    <x:row r="36">
      <x:c r="A36" s="98" t="n">
        <x:v>28</x:v>
      </x:c>
      <x:c r="B36" s="98" t="str">
        <x:v>abr/2025</x:v>
      </x:c>
      <x:c r="C36" s="99" t="n">
        <x:f>Dados!F11</x:f>
        <x:v>930000</x:v>
      </x:c>
      <x:c r="D36" s="99" t="n">
        <x:f>C36</x:f>
        <x:v>930000</x:v>
      </x:c>
      <x:c r="E36" s="98" t="str">
        <x:v>Realizado histórico</x:v>
      </x:c>
      <x:c r="F36" s="110" t="n">
        <x:v>1</x:v>
      </x:c>
    </x:row>
    <x:row r="37">
      <x:c r="A37" s="98" t="n">
        <x:v>29</x:v>
      </x:c>
      <x:c r="B37" s="98" t="str">
        <x:v>mai/2025</x:v>
      </x:c>
      <x:c r="C37" s="99" t="n">
        <x:f>Dados!F12</x:f>
        <x:v>350000</x:v>
      </x:c>
      <x:c r="D37" s="99" t="n">
        <x:f>C37</x:f>
        <x:v>350000</x:v>
      </x:c>
      <x:c r="E37" s="98" t="str">
        <x:v>Realizado histórico</x:v>
      </x:c>
      <x:c r="F37" s="110" t="n">
        <x:v>1</x:v>
      </x:c>
    </x:row>
    <x:row r="38">
      <x:c r="A38" s="98" t="n">
        <x:v>30</x:v>
      </x:c>
      <x:c r="B38" s="98" t="str">
        <x:v>jun/2025</x:v>
      </x:c>
      <x:c r="C38" s="99" t="n">
        <x:f>Dados!F13</x:f>
        <x:v>265000</x:v>
      </x:c>
      <x:c r="D38" s="99" t="n">
        <x:f>C38</x:f>
        <x:v>265000</x:v>
      </x:c>
      <x:c r="E38" s="98" t="str">
        <x:v>Realizado histórico</x:v>
      </x:c>
      <x:c r="F38" s="110" t="n">
        <x:v>1</x:v>
      </x:c>
    </x:row>
    <x:row r="39">
      <x:c r="A39" s="98" t="n">
        <x:v>31</x:v>
      </x:c>
      <x:c r="B39" s="98" t="str">
        <x:v>jul/2025</x:v>
      </x:c>
      <x:c r="C39" s="99" t="n">
        <x:f>Dados!F14</x:f>
        <x:v>255000</x:v>
      </x:c>
      <x:c r="D39" s="99" t="n">
        <x:f>C39</x:f>
        <x:v>255000</x:v>
      </x:c>
      <x:c r="E39" s="98" t="str">
        <x:v>Realizado histórico</x:v>
      </x:c>
      <x:c r="F39" s="110" t="n">
        <x:v>1</x:v>
      </x:c>
    </x:row>
    <x:row r="40">
      <x:c r="A40" s="98" t="n">
        <x:v>32</x:v>
      </x:c>
      <x:c r="B40" s="98" t="str">
        <x:v>ago/2025</x:v>
      </x:c>
      <x:c r="C40" s="99" t="n">
        <x:f>Dados!F15</x:f>
        <x:v>275000</x:v>
      </x:c>
      <x:c r="D40" s="99" t="n">
        <x:f>C40</x:f>
        <x:v>275000</x:v>
      </x:c>
      <x:c r="E40" s="98" t="str">
        <x:v>Realizado histórico</x:v>
      </x:c>
      <x:c r="F40" s="110" t="n">
        <x:v>1</x:v>
      </x:c>
    </x:row>
    <x:row r="41">
      <x:c r="A41" s="98" t="n">
        <x:v>33</x:v>
      </x:c>
      <x:c r="B41" s="98" t="str">
        <x:v>set/2025</x:v>
      </x:c>
      <x:c r="C41" s="99" t="n">
        <x:f>Dados!F16</x:f>
        <x:v>-120000</x:v>
      </x:c>
      <x:c r="D41" s="99" t="n">
        <x:f>C41</x:f>
        <x:v>-120000</x:v>
      </x:c>
      <x:c r="E41" s="98" t="str">
        <x:v>Realizado histórico</x:v>
      </x:c>
      <x:c r="F41" s="110" t="n">
        <x:v>1</x:v>
      </x:c>
    </x:row>
    <x:row r="42">
      <x:c r="A42" s="98" t="n">
        <x:v>34</x:v>
      </x:c>
      <x:c r="B42" s="98" t="str">
        <x:v>out/2025</x:v>
      </x:c>
      <x:c r="C42" s="99" t="n">
        <x:f>Dados!F17</x:f>
        <x:v>295000</x:v>
      </x:c>
      <x:c r="D42" s="99" t="n">
        <x:f>C42</x:f>
        <x:v>295000</x:v>
      </x:c>
      <x:c r="E42" s="98" t="str">
        <x:v>Realizado histórico</x:v>
      </x:c>
      <x:c r="F42" s="110" t="n">
        <x:v>1</x:v>
      </x:c>
    </x:row>
    <x:row r="43">
      <x:c r="A43" s="98" t="n">
        <x:v>35</x:v>
      </x:c>
      <x:c r="B43" s="98" t="str">
        <x:v>nov/2025</x:v>
      </x:c>
      <x:c r="C43" s="99" t="n">
        <x:f>Dados!F18</x:f>
        <x:v>330000</x:v>
      </x:c>
      <x:c r="D43" s="99" t="n">
        <x:f>C43</x:f>
        <x:v>330000</x:v>
      </x:c>
      <x:c r="E43" s="98" t="str">
        <x:v>Realizado histórico</x:v>
      </x:c>
      <x:c r="F43" s="110" t="n">
        <x:v>1</x:v>
      </x:c>
    </x:row>
    <x:row r="44">
      <x:c r="A44" s="98" t="n">
        <x:v>36</x:v>
      </x:c>
      <x:c r="B44" s="98" t="str">
        <x:v>dez/2025</x:v>
      </x:c>
      <x:c r="C44" s="99" t="n">
        <x:f>Dados!F19</x:f>
        <x:v>370000</x:v>
      </x:c>
      <x:c r="D44" s="99" t="n">
        <x:f>C44</x:f>
        <x:v>370000</x:v>
      </x:c>
      <x:c r="E44" s="98" t="str">
        <x:v>Realizado histórico</x:v>
      </x:c>
      <x:c r="F44" s="110" t="n">
        <x:v>1</x:v>
      </x:c>
    </x:row>
    <x:row r="45">
      <x:c r="A45" s="113" t="n">
        <x:v>37</x:v>
      </x:c>
      <x:c r="B45" s="113" t="str">
        <x:v>jan/2026</x:v>
      </x:c>
      <x:c r="C45" s="103" t="n">
        <x:f>IF(Dados!G8="","",Dados!G8)</x:f>
        <x:v>490000</x:v>
      </x:c>
      <x:c r="D45" s="103" t="n">
        <x:f>IF(C45&lt;&gt;"",C45,ROUND(IF(Premissas!$B$8=3,AVERAGE(D42:D44),IF(Premissas!$B$8=6,AVERAGE(D39:D44),IF(Premissas!$B$8=24,AVERAGE(D21:D44),AVERAGE(D33:D44))))*Premissas!$E$16,2))</x:f>
        <x:v>490000</x:v>
      </x:c>
      <x:c r="E45" s="113" t="str">
        <x:f>IF(C45&lt;&gt;"","Realizado ano-alvo","Projetado MM")</x:f>
        <x:v>Realizado ano-alvo</x:v>
      </x:c>
      <x:c r="F45" s="108" t="n">
        <x:f>Premissas!E16</x:f>
        <x:v>1.0608</x:v>
      </x:c>
    </x:row>
    <x:row r="46">
      <x:c r="A46" s="113" t="n">
        <x:v>38</x:v>
      </x:c>
      <x:c r="B46" s="113" t="str">
        <x:v>fev/2026</x:v>
      </x:c>
      <x:c r="C46" s="103" t="n">
        <x:f>IF(Dados!G9="","",Dados!G9)</x:f>
        <x:v>710000</x:v>
      </x:c>
      <x:c r="D46" s="103" t="n">
        <x:f>IF(C46&lt;&gt;"",C46,ROUND(IF(Premissas!$B$8=3,AVERAGE(D43:D45),IF(Premissas!$B$8=6,AVERAGE(D40:D45),IF(Premissas!$B$8=24,AVERAGE(D22:D45),AVERAGE(D34:D45))))*Premissas!$E$17,2))</x:f>
        <x:v>710000</x:v>
      </x:c>
      <x:c r="E46" s="113" t="str">
        <x:f>IF(C46&lt;&gt;"","Realizado ano-alvo","Projetado MM")</x:f>
        <x:v>Realizado ano-alvo</x:v>
      </x:c>
      <x:c r="F46" s="108" t="n">
        <x:f>Premissas!E17</x:f>
        <x:v>1.0608</x:v>
      </x:c>
    </x:row>
    <x:row r="47">
      <x:c r="A47" s="113" t="n">
        <x:v>39</x:v>
      </x:c>
      <x:c r="B47" s="113" t="str">
        <x:v>mar/2026</x:v>
      </x:c>
      <x:c r="C47" s="103" t="n">
        <x:f>IF(Dados!G10="","",Dados!G10)</x:f>
        <x:v>1390000</x:v>
      </x:c>
      <x:c r="D47" s="103" t="n">
        <x:f>IF(C47&lt;&gt;"",C47,ROUND(IF(Premissas!$B$8=3,AVERAGE(D44:D46),IF(Premissas!$B$8=6,AVERAGE(D41:D46),IF(Premissas!$B$8=24,AVERAGE(D23:D46),AVERAGE(D35:D46))))*Premissas!$E$18,2))</x:f>
        <x:v>1390000</x:v>
      </x:c>
      <x:c r="E47" s="113" t="str">
        <x:f>IF(C47&lt;&gt;"","Realizado ano-alvo","Projetado MM")</x:f>
        <x:v>Realizado ano-alvo</x:v>
      </x:c>
      <x:c r="F47" s="108" t="n">
        <x:f>Premissas!E18</x:f>
        <x:v>1.0608</x:v>
      </x:c>
    </x:row>
    <x:row r="48">
      <x:c r="A48" s="113" t="n">
        <x:v>40</x:v>
      </x:c>
      <x:c r="B48" s="113" t="str">
        <x:v>abr/2026</x:v>
      </x:c>
      <x:c r="C48" s="103" t="str">
        <x:f>IF(Dados!G11="","",Dados!G11)</x:f>
      </x:c>
      <x:c r="D48" s="103" t="n">
        <x:f>IF(C48&lt;&gt;"",C48,ROUND(IF(Premissas!$B$8=3,AVERAGE(D45:D47),IF(Premissas!$B$8=6,AVERAGE(D42:D47),IF(Premissas!$B$8=24,AVERAGE(D24:D47),AVERAGE(D36:D47))))*Premissas!$E$19,2))</x:f>
        <x:v>489736</x:v>
      </x:c>
      <x:c r="E48" s="113" t="str">
        <x:f>IF(C48&lt;&gt;"","Realizado ano-alvo","Projetado MM")</x:f>
        <x:v>Projetado MM</x:v>
      </x:c>
      <x:c r="F48" s="108" t="n">
        <x:f>Premissas!E19</x:f>
        <x:v>1.0608</x:v>
      </x:c>
    </x:row>
    <x:row r="49">
      <x:c r="A49" s="113" t="n">
        <x:v>41</x:v>
      </x:c>
      <x:c r="B49" s="113" t="str">
        <x:v>mai/2026</x:v>
      </x:c>
      <x:c r="C49" s="103" t="str">
        <x:f>IF(Dados!G12="","",Dados!G12)</x:f>
      </x:c>
      <x:c r="D49" s="103" t="n">
        <x:f>IF(C49&lt;&gt;"",C49,ROUND(IF(Premissas!$B$8=3,AVERAGE(D46:D48),IF(Premissas!$B$8=6,AVERAGE(D43:D48),IF(Premissas!$B$8=24,AVERAGE(D25:D48),AVERAGE(D37:D48))))*Premissas!$E$20,2))</x:f>
        <x:v>450816.66</x:v>
      </x:c>
      <x:c r="E49" s="113" t="str">
        <x:f>IF(C49&lt;&gt;"","Realizado ano-alvo","Projetado MM")</x:f>
        <x:v>Projetado MM</x:v>
      </x:c>
      <x:c r="F49" s="108" t="n">
        <x:f>Premissas!E20</x:f>
        <x:v>1.0608</x:v>
      </x:c>
    </x:row>
    <x:row r="50">
      <x:c r="A50" s="113" t="n">
        <x:v>42</x:v>
      </x:c>
      <x:c r="B50" s="113" t="str">
        <x:v>jun/2026</x:v>
      </x:c>
      <x:c r="C50" s="103" t="str">
        <x:f>IF(Dados!G13="","",Dados!G13)</x:f>
      </x:c>
      <x:c r="D50" s="103" t="n">
        <x:f>IF(C50&lt;&gt;"",C50,ROUND(IF(Premissas!$B$8=3,AVERAGE(D47:D49),IF(Premissas!$B$8=6,AVERAGE(D44:D49),IF(Premissas!$B$8=24,AVERAGE(D26:D49),AVERAGE(D38:D49))))*Premissas!$E$21,2))</x:f>
        <x:v>459728.86</x:v>
      </x:c>
      <x:c r="E50" s="113" t="str">
        <x:f>IF(C50&lt;&gt;"","Realizado ano-alvo","Projetado MM")</x:f>
        <x:v>Projetado MM</x:v>
      </x:c>
      <x:c r="F50" s="108" t="n">
        <x:f>Premissas!E21</x:f>
        <x:v>1.0608</x:v>
      </x:c>
    </x:row>
    <x:row r="51">
      <x:c r="A51" s="113" t="n">
        <x:v>43</x:v>
      </x:c>
      <x:c r="B51" s="113" t="str">
        <x:v>jul/2026</x:v>
      </x:c>
      <x:c r="C51" s="103" t="str">
        <x:f>IF(Dados!G14="","",Dados!G14)</x:f>
      </x:c>
      <x:c r="D51" s="103" t="n">
        <x:f>IF(C51&lt;&gt;"",C51,ROUND(IF(Premissas!$B$8=3,AVERAGE(D48:D50),IF(Premissas!$B$8=6,AVERAGE(D45:D50),IF(Premissas!$B$8=24,AVERAGE(D27:D50),AVERAGE(D39:D50))))*Premissas!$E$22,2))</x:f>
        <x:v>500790.03</x:v>
      </x:c>
      <x:c r="E51" s="113" t="str">
        <x:f>IF(C51&lt;&gt;"","Realizado ano-alvo","Projetado MM")</x:f>
        <x:v>Projetado MM</x:v>
      </x:c>
      <x:c r="F51" s="108" t="n">
        <x:f>Premissas!E22</x:f>
        <x:v>1.11384</x:v>
      </x:c>
    </x:row>
    <x:row r="52">
      <x:c r="A52" s="113" t="n">
        <x:v>44</x:v>
      </x:c>
      <x:c r="B52" s="113" t="str">
        <x:v>ago/2026</x:v>
      </x:c>
      <x:c r="C52" s="103" t="str">
        <x:f>IF(Dados!G15="","",Dados!G15)</x:f>
      </x:c>
      <x:c r="D52" s="103" t="n">
        <x:f>IF(C52&lt;&gt;"",C52,ROUND(IF(Premissas!$B$8=3,AVERAGE(D49:D51),IF(Premissas!$B$8=6,AVERAGE(D46:D51),IF(Premissas!$B$8=24,AVERAGE(D28:D51),AVERAGE(D40:D51))))*Premissas!$E$23,2))</x:f>
        <x:v>523604.26</x:v>
      </x:c>
      <x:c r="E52" s="113" t="str">
        <x:f>IF(C52&lt;&gt;"","Realizado ano-alvo","Projetado MM")</x:f>
        <x:v>Projetado MM</x:v>
      </x:c>
      <x:c r="F52" s="108" t="n">
        <x:f>Premissas!E23</x:f>
        <x:v>1.11384</x:v>
      </x:c>
    </x:row>
    <x:row r="53">
      <x:c r="A53" s="113" t="n">
        <x:v>45</x:v>
      </x:c>
      <x:c r="B53" s="113" t="str">
        <x:v>set/2026</x:v>
      </x:c>
      <x:c r="C53" s="103" t="str">
        <x:f>IF(Dados!G16="","",Dados!G16)</x:f>
      </x:c>
      <x:c r="D53" s="103" t="n">
        <x:f>IF(C53&lt;&gt;"",C53,ROUND(IF(Premissas!$B$8=3,AVERAGE(D50:D52),IF(Premissas!$B$8=6,AVERAGE(D47:D52),IF(Premissas!$B$8=24,AVERAGE(D29:D52),AVERAGE(D41:D52))))*Premissas!$E$24,2))</x:f>
        <x:v>546679.71</x:v>
      </x:c>
      <x:c r="E53" s="113" t="str">
        <x:f>IF(C53&lt;&gt;"","Realizado ano-alvo","Projetado MM")</x:f>
        <x:v>Projetado MM</x:v>
      </x:c>
      <x:c r="F53" s="108" t="n">
        <x:f>Premissas!E24</x:f>
        <x:v>1.11384</x:v>
      </x:c>
    </x:row>
    <x:row r="54">
      <x:c r="A54" s="113" t="n">
        <x:v>46</x:v>
      </x:c>
      <x:c r="B54" s="113" t="str">
        <x:v>out/2026</x:v>
      </x:c>
      <x:c r="C54" s="103" t="str">
        <x:f>IF(Dados!G17="","",Dados!G17)</x:f>
      </x:c>
      <x:c r="D54" s="103" t="n">
        <x:f>IF(C54&lt;&gt;"",C54,ROUND(IF(Premissas!$B$8=3,AVERAGE(D51:D53),IF(Premissas!$B$8=6,AVERAGE(D48:D53),IF(Premissas!$B$8=24,AVERAGE(D30:D53),AVERAGE(D42:D53))))*Premissas!$E$25,2))</x:f>
        <x:v>608560.92</x:v>
      </x:c>
      <x:c r="E54" s="113" t="str">
        <x:f>IF(C54&lt;&gt;"","Realizado ano-alvo","Projetado MM")</x:f>
        <x:v>Projetado MM</x:v>
      </x:c>
      <x:c r="F54" s="108" t="n">
        <x:f>Premissas!E25</x:f>
        <x:v>1.11384</x:v>
      </x:c>
    </x:row>
    <x:row r="55">
      <x:c r="A55" s="113" t="n">
        <x:v>47</x:v>
      </x:c>
      <x:c r="B55" s="113" t="str">
        <x:v>nov/2026</x:v>
      </x:c>
      <x:c r="C55" s="103" t="str">
        <x:f>IF(Dados!G18="","",Dados!G18)</x:f>
      </x:c>
      <x:c r="D55" s="103" t="n">
        <x:f>IF(C55&lt;&gt;"",C55,ROUND(IF(Premissas!$B$8=3,AVERAGE(D52:D54),IF(Premissas!$B$8=6,AVERAGE(D49:D54),IF(Premissas!$B$8=24,AVERAGE(D31:D54),AVERAGE(D43:D54))))*Premissas!$E$26,2))</x:f>
        <x:v>637665.64</x:v>
      </x:c>
      <x:c r="E55" s="113" t="str">
        <x:f>IF(C55&lt;&gt;"","Realizado ano-alvo","Projetado MM")</x:f>
        <x:v>Projetado MM</x:v>
      </x:c>
      <x:c r="F55" s="108" t="n">
        <x:f>Premissas!E26</x:f>
        <x:v>1.11384</x:v>
      </x:c>
    </x:row>
    <x:row r="56">
      <x:c r="A56" s="113" t="n">
        <x:v>48</x:v>
      </x:c>
      <x:c r="B56" s="113" t="str">
        <x:v>dez/2026</x:v>
      </x:c>
      <x:c r="C56" s="103" t="str">
        <x:f>IF(Dados!G19="","",Dados!G19)</x:f>
      </x:c>
      <x:c r="D56" s="103" t="n">
        <x:f>IF(C56&lt;&gt;"",C56,ROUND(IF(Premissas!$B$8=3,AVERAGE(D53:D55),IF(Premissas!$B$8=6,AVERAGE(D50:D55),IF(Premissas!$B$8=24,AVERAGE(D32:D55),AVERAGE(D44:D55))))*Premissas!$E$27,2))</x:f>
        <x:v>666223.17</x:v>
      </x:c>
      <x:c r="E56" s="113" t="str">
        <x:f>IF(C56&lt;&gt;"","Realizado ano-alvo","Projetado MM")</x:f>
        <x:v>Projetado MM</x:v>
      </x:c>
      <x:c r="F56" s="108" t="n">
        <x:f>Premissas!E27</x:f>
        <x:v>1.11384</x:v>
      </x:c>
    </x:row>
  </x:sheetData>
  <x:mergeCells>
    <x:mergeCell ref="A1:F2"/>
    <x:mergeCell ref="A3:F3"/>
  </x:mergeCells>
  <x:conditionalFormatting sqref="E45:E56">
    <x:cfRule type="containsText" dxfId="1" priority="1" operator="containsText" text="Projetado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18" hidden="0" customWidth="1"/>
    <x:col min="9" max="9" width="22" hidden="0" customWidth="1"/>
  </x:cols>
  <x:sheetData>
    <x:row r="1" ht="36" customHeight="1">
      <x:c r="A1" s="5" t="str">
        <x:v>Memória de cálculo — MMV</x:v>
      </x:c>
      <x:c r="B1" s="5" t="str">
        <x:v>Memória de cálculo — MMV</x:v>
      </x:c>
      <x:c r="C1" s="5" t="str">
        <x:v>Memória de cálculo — MMV</x:v>
      </x:c>
      <x:c r="D1" s="5" t="str">
        <x:v>Memória de cálculo — MMV</x:v>
      </x:c>
      <x:c r="E1" s="5" t="str">
        <x:v>Memória de cálculo — MMV</x:v>
      </x:c>
      <x:c r="F1" s="5" t="str">
        <x:v>Memória de cálculo — MMV</x:v>
      </x:c>
      <x:c r="G1" s="5" t="str">
        <x:v>Memória de cálculo — MMV</x:v>
      </x:c>
      <x:c r="H1" s="5" t="str">
        <x:v>Memória de cálculo — MMV</x:v>
      </x:c>
      <x:c r="I1" s="5" t="str">
        <x:v>Memória de cálculo — MMV</x:v>
      </x:c>
    </x:row>
    <x:row r="2" ht="36" customHeight="1">
      <x:c r="A2" s="5" t="str">
        <x:v>Memória de cálculo — MMV</x:v>
      </x:c>
      <x:c r="B2" s="5" t="str">
        <x:v>Memória de cálculo — MMV</x:v>
      </x:c>
      <x:c r="C2" s="5" t="str">
        <x:v>Memória de cálculo — MMV</x:v>
      </x:c>
      <x:c r="D2" s="5" t="str">
        <x:v>Memória de cálculo — MMV</x:v>
      </x:c>
      <x:c r="E2" s="5" t="str">
        <x:v>Memória de cálculo — MMV</x:v>
      </x:c>
      <x:c r="F2" s="5" t="str">
        <x:v>Memória de cálculo — MMV</x:v>
      </x:c>
      <x:c r="G2" s="5" t="str">
        <x:v>Memória de cálculo — MMV</x:v>
      </x:c>
      <x:c r="H2" s="5" t="str">
        <x:v>Memória de cálculo — MMV</x:v>
      </x:c>
      <x:c r="I2" s="5" t="str">
        <x:v>Memória de cálculo — MMV</x:v>
      </x:c>
    </x:row>
    <x:row r="3" ht="30" customHeight="1">
      <x:c r="A3" s="8" t="str">
        <x:v>Tratamento prévio de arrecadações negativas: substitui participação negativa por 1, normaliza a soma para 12 e preserva o total da base.</x:v>
      </x:c>
      <x:c r="B3" s="8" t="str">
        <x:v>Tratamento prévio de arrecadações negativas: substitui participação negativa por 1, normaliza a soma para 12 e preserva o total da base.</x:v>
      </x:c>
      <x:c r="C3" s="8" t="str">
        <x:v>Tratamento prévio de arrecadações negativas: substitui participação negativa por 1, normaliza a soma para 12 e preserva o total da base.</x:v>
      </x:c>
      <x:c r="D3" s="8" t="str">
        <x:v>Tratamento prévio de arrecadações negativas: substitui participação negativa por 1, normaliza a soma para 12 e preserva o total da base.</x:v>
      </x:c>
      <x:c r="E3" s="8" t="str">
        <x:v>Tratamento prévio de arrecadações negativas: substitui participação negativa por 1, normaliza a soma para 12 e preserva o total da base.</x:v>
      </x:c>
      <x:c r="F3" s="8" t="str">
        <x:v>Tratamento prévio de arrecadações negativas: substitui participação negativa por 1, normaliza a soma para 12 e preserva o total da base.</x:v>
      </x:c>
      <x:c r="G3" s="8" t="str">
        <x:v>Tratamento prévio de arrecadações negativas: substitui participação negativa por 1, normaliza a soma para 12 e preserva o total da base.</x:v>
      </x:c>
      <x:c r="H3" s="8" t="str">
        <x:v>Tratamento prévio de arrecadações negativas: substitui participação negativa por 1, normaliza a soma para 12 e preserva o total da base.</x:v>
      </x:c>
      <x:c r="I3" s="8" t="str">
        <x:v>Tratamento prévio de arrecadações negativas: substitui participação negativa por 1, normaliza a soma para 12 e preserva o total da base.</x:v>
      </x:c>
    </x:row>
    <x:row r="4">
      <x:c r="A4" s="97"/>
      <x:c r="B4" s="97"/>
      <x:c r="C4" s="97"/>
      <x:c r="D4" s="97"/>
      <x:c r="E4" s="97"/>
      <x:c r="F4" s="97"/>
      <x:c r="G4" s="97"/>
      <x:c r="H4" s="97"/>
      <x:c r="I4" s="97"/>
    </x:row>
    <x:row r="5">
      <x:c r="A5" s="97"/>
      <x:c r="B5" s="97"/>
      <x:c r="C5" s="97"/>
      <x:c r="D5" s="97"/>
      <x:c r="E5" s="97"/>
      <x:c r="F5" s="97"/>
      <x:c r="G5" s="97"/>
      <x:c r="H5" s="97"/>
      <x:c r="I5" s="97"/>
    </x:row>
    <x:row r="6">
      <x:c r="A6" s="97"/>
      <x:c r="B6" s="97"/>
      <x:c r="C6" s="97"/>
      <x:c r="D6" s="97"/>
      <x:c r="E6" s="97"/>
      <x:c r="F6" s="97"/>
      <x:c r="G6" s="97"/>
      <x:c r="H6" s="97"/>
      <x:c r="I6" s="97"/>
    </x:row>
    <x:row r="7">
      <x:c r="A7" s="26" t="str">
        <x:v>Mês</x:v>
      </x:c>
      <x:c r="B7" s="26" t="str">
        <x:v>Base Ano -1</x:v>
      </x:c>
      <x:c r="C7" s="26" t="str">
        <x:v>Participação</x:v>
      </x:c>
      <x:c r="D7" s="26" t="str">
        <x:v>Nova participação</x:v>
      </x:c>
      <x:c r="E7" s="26" t="str">
        <x:v>Índice normalizado</x:v>
      </x:c>
      <x:c r="F7" s="26" t="str">
        <x:v>Valor ajustado</x:v>
      </x:c>
      <x:c r="G7" s="26" t="str">
        <x:v>Fator total</x:v>
      </x:c>
      <x:c r="H7" s="26" t="str">
        <x:v>Projeção</x:v>
      </x:c>
      <x:c r="I7" s="26" t="str">
        <x:v>Nota</x:v>
      </x:c>
    </x:row>
    <x:row r="8">
      <x:c r="A8" s="98" t="str">
        <x:v>jan</x:v>
      </x:c>
      <x:c r="B8" s="103" t="n">
        <x:f>Dados!F8</x:f>
        <x:v>460000</x:v>
      </x:c>
      <x:c r="C8" s="110" t="n">
        <x:f>IF($B$23=0,0,B8/$B$23)</x:f>
        <x:v>1.018450184501845</x:v>
      </x:c>
      <x:c r="D8" s="114" t="n">
        <x:f>IF(C8&lt;0,1,C8)</x:f>
        <x:v>1.018450184501845</x:v>
      </x:c>
      <x:c r="E8" s="114" t="n">
        <x:f>D8*$B$24</x:f>
        <x:v>0.921279554937413</x:v>
      </x:c>
      <x:c r="F8" s="115" t="n">
        <x:f>$B$23*E8</x:f>
        <x:v>416111.26564673154</x:v>
      </x:c>
      <x:c r="G8" s="110" t="n">
        <x:f>Premissas!E16</x:f>
        <x:v>1.0608</x:v>
      </x:c>
      <x:c r="H8" s="99" t="n">
        <x:f>ROUND(F8*G8,2)</x:f>
        <x:v>441410.83</x:v>
      </x:c>
      <x:c r="I8" s="98" t="str">
        <x:f>IF(B8&lt;0,"Negativo tratado","")</x:f>
      </x:c>
    </x:row>
    <x:row r="9">
      <x:c r="A9" s="98" t="str">
        <x:v>fev</x:v>
      </x:c>
      <x:c r="B9" s="103" t="n">
        <x:f>Dados!F9</x:f>
        <x:v>690000</x:v>
      </x:c>
      <x:c r="C9" s="110" t="n">
        <x:f>IF($B$23=0,0,B9/$B$23)</x:f>
        <x:v>1.5276752767527675</x:v>
      </x:c>
      <x:c r="D9" s="114" t="n">
        <x:f>IF(C9&lt;0,1,C9)</x:f>
        <x:v>1.5276752767527675</x:v>
      </x:c>
      <x:c r="E9" s="114" t="n">
        <x:f>D9*$B$24</x:f>
        <x:v>1.3819193324061194</x:v>
      </x:c>
      <x:c r="F9" s="115" t="n">
        <x:f>$B$23*E9</x:f>
        <x:v>624166.8984700973</x:v>
      </x:c>
      <x:c r="G9" s="110" t="n">
        <x:f>Premissas!E17</x:f>
        <x:v>1.0608</x:v>
      </x:c>
      <x:c r="H9" s="99" t="n">
        <x:f>ROUND(F9*G9,2)</x:f>
        <x:v>662116.25</x:v>
      </x:c>
      <x:c r="I9" s="98" t="str">
        <x:f>IF(B9&lt;0,"Negativo tratado","")</x:f>
      </x:c>
    </x:row>
    <x:row r="10">
      <x:c r="A10" s="98" t="str">
        <x:v>mar</x:v>
      </x:c>
      <x:c r="B10" s="103" t="n">
        <x:f>Dados!F10</x:f>
        <x:v>1320000</x:v>
      </x:c>
      <x:c r="C10" s="110" t="n">
        <x:f>IF($B$23=0,0,B10/$B$23)</x:f>
        <x:v>2.922509225092251</x:v>
      </x:c>
      <x:c r="D10" s="114" t="n">
        <x:f>IF(C10&lt;0,1,C10)</x:f>
        <x:v>2.922509225092251</x:v>
      </x:c>
      <x:c r="E10" s="114" t="n">
        <x:f>D10*$B$24</x:f>
        <x:v>2.6436717663421416</x:v>
      </x:c>
      <x:c r="F10" s="115" t="n">
        <x:f>$B$23*E10</x:f>
        <x:v>1194058.414464534</x:v>
      </x:c>
      <x:c r="G10" s="110" t="n">
        <x:f>Premissas!E18</x:f>
        <x:v>1.0608</x:v>
      </x:c>
      <x:c r="H10" s="99" t="n">
        <x:f>ROUND(F10*G10,2)</x:f>
        <x:v>1266657.17</x:v>
      </x:c>
      <x:c r="I10" s="98" t="str">
        <x:f>IF(B10&lt;0,"Negativo tratado","")</x:f>
      </x:c>
    </x:row>
    <x:row r="11">
      <x:c r="A11" s="98" t="str">
        <x:v>abr</x:v>
      </x:c>
      <x:c r="B11" s="103" t="n">
        <x:f>Dados!F11</x:f>
        <x:v>930000</x:v>
      </x:c>
      <x:c r="C11" s="110" t="n">
        <x:f>IF($B$23=0,0,B11/$B$23)</x:f>
        <x:v>2.059040590405904</x:v>
      </x:c>
      <x:c r="D11" s="114" t="n">
        <x:f>IF(C11&lt;0,1,C11)</x:f>
        <x:v>2.059040590405904</x:v>
      </x:c>
      <x:c r="E11" s="114" t="n">
        <x:f>D11*$B$24</x:f>
        <x:v>1.862586926286509</x:v>
      </x:c>
      <x:c r="F11" s="115" t="n">
        <x:f>$B$23*E11</x:f>
        <x:v>841268.4283727399</x:v>
      </x:c>
      <x:c r="G11" s="110" t="n">
        <x:f>Premissas!E19</x:f>
        <x:v>1.0608</x:v>
      </x:c>
      <x:c r="H11" s="99" t="n">
        <x:f>ROUND(F11*G11,2)</x:f>
        <x:v>892417.55</x:v>
      </x:c>
      <x:c r="I11" s="98" t="str">
        <x:f>IF(B11&lt;0,"Negativo tratado","")</x:f>
      </x:c>
    </x:row>
    <x:row r="12">
      <x:c r="A12" s="98" t="str">
        <x:v>mai</x:v>
      </x:c>
      <x:c r="B12" s="103" t="n">
        <x:f>Dados!F12</x:f>
        <x:v>350000</x:v>
      </x:c>
      <x:c r="C12" s="110" t="n">
        <x:f>IF($B$23=0,0,B12/$B$23)</x:f>
        <x:v>0.7749077490774907</x:v>
      </x:c>
      <x:c r="D12" s="114" t="n">
        <x:f>IF(C12&lt;0,1,C12)</x:f>
        <x:v>0.7749077490774907</x:v>
      </x:c>
      <x:c r="E12" s="114" t="n">
        <x:f>D12*$B$24</x:f>
        <x:v>0.7009735744089011</x:v>
      </x:c>
      <x:c r="F12" s="115" t="n">
        <x:f>$B$23*E12</x:f>
        <x:v>316606.397774687</x:v>
      </x:c>
      <x:c r="G12" s="110" t="n">
        <x:f>Premissas!E20</x:f>
        <x:v>1.0608</x:v>
      </x:c>
      <x:c r="H12" s="99" t="n">
        <x:f>ROUND(F12*G12,2)</x:f>
        <x:v>335856.07</x:v>
      </x:c>
      <x:c r="I12" s="98" t="str">
        <x:f>IF(B12&lt;0,"Negativo tratado","")</x:f>
      </x:c>
    </x:row>
    <x:row r="13">
      <x:c r="A13" s="98" t="str">
        <x:v>jun</x:v>
      </x:c>
      <x:c r="B13" s="103" t="n">
        <x:f>Dados!F13</x:f>
        <x:v>265000</x:v>
      </x:c>
      <x:c r="C13" s="110" t="n">
        <x:f>IF($B$23=0,0,B13/$B$23)</x:f>
        <x:v>0.5867158671586715</x:v>
      </x:c>
      <x:c r="D13" s="114" t="n">
        <x:f>IF(C13&lt;0,1,C13)</x:f>
        <x:v>0.5867158671586715</x:v>
      </x:c>
      <x:c r="E13" s="114" t="n">
        <x:f>D13*$B$24</x:f>
        <x:v>0.5307371349095965</x:v>
      </x:c>
      <x:c r="F13" s="115" t="n">
        <x:f>$B$23*E13</x:f>
        <x:v>239716.27260083443</x:v>
      </x:c>
      <x:c r="G13" s="110" t="n">
        <x:f>Premissas!E21</x:f>
        <x:v>1.0608</x:v>
      </x:c>
      <x:c r="H13" s="99" t="n">
        <x:f>ROUND(F13*G13,2)</x:f>
        <x:v>254291.02</x:v>
      </x:c>
      <x:c r="I13" s="98" t="str">
        <x:f>IF(B13&lt;0,"Negativo tratado","")</x:f>
      </x:c>
    </x:row>
    <x:row r="14">
      <x:c r="A14" s="98" t="str">
        <x:v>jul</x:v>
      </x:c>
      <x:c r="B14" s="103" t="n">
        <x:f>Dados!F14</x:f>
        <x:v>255000</x:v>
      </x:c>
      <x:c r="C14" s="110" t="n">
        <x:f>IF($B$23=0,0,B14/$B$23)</x:f>
        <x:v>0.5645756457564576</x:v>
      </x:c>
      <x:c r="D14" s="114" t="n">
        <x:f>IF(C14&lt;0,1,C14)</x:f>
        <x:v>0.5645756457564576</x:v>
      </x:c>
      <x:c r="E14" s="114" t="n">
        <x:f>D14*$B$24</x:f>
        <x:v>0.5107093184979137</x:v>
      </x:c>
      <x:c r="F14" s="115" t="n">
        <x:f>$B$23*E14</x:f>
        <x:v>230670.3755215577</x:v>
      </x:c>
      <x:c r="G14" s="110" t="n">
        <x:f>Premissas!E22</x:f>
        <x:v>1.11384</x:v>
      </x:c>
      <x:c r="H14" s="99" t="n">
        <x:f>ROUND(F14*G14,2)</x:f>
        <x:v>256929.89</x:v>
      </x:c>
      <x:c r="I14" s="98" t="str">
        <x:f>IF(B14&lt;0,"Negativo tratado","")</x:f>
      </x:c>
    </x:row>
    <x:row r="15">
      <x:c r="A15" s="98" t="str">
        <x:v>ago</x:v>
      </x:c>
      <x:c r="B15" s="103" t="n">
        <x:f>Dados!F15</x:f>
        <x:v>275000</x:v>
      </x:c>
      <x:c r="C15" s="110" t="n">
        <x:f>IF($B$23=0,0,B15/$B$23)</x:f>
        <x:v>0.6088560885608856</x:v>
      </x:c>
      <x:c r="D15" s="114" t="n">
        <x:f>IF(C15&lt;0,1,C15)</x:f>
        <x:v>0.6088560885608856</x:v>
      </x:c>
      <x:c r="E15" s="114" t="n">
        <x:f>D15*$B$24</x:f>
        <x:v>0.5507649513212795</x:v>
      </x:c>
      <x:c r="F15" s="115" t="n">
        <x:f>$B$23*E15</x:f>
        <x:v>248762.16968011123</x:v>
      </x:c>
      <x:c r="G15" s="110" t="n">
        <x:f>Premissas!E23</x:f>
        <x:v>1.11384</x:v>
      </x:c>
      <x:c r="H15" s="99" t="n">
        <x:f>ROUND(F15*G15,2)</x:f>
        <x:v>277081.26</x:v>
      </x:c>
      <x:c r="I15" s="98" t="str">
        <x:f>IF(B15&lt;0,"Negativo tratado","")</x:f>
      </x:c>
    </x:row>
    <x:row r="16">
      <x:c r="A16" s="98" t="str">
        <x:v>set</x:v>
      </x:c>
      <x:c r="B16" s="103" t="n">
        <x:f>Dados!F16</x:f>
        <x:v>-120000</x:v>
      </x:c>
      <x:c r="C16" s="110" t="n">
        <x:f>IF($B$23=0,0,B16/$B$23)</x:f>
        <x:v>-0.2656826568265683</x:v>
      </x:c>
      <x:c r="D16" s="114" t="n">
        <x:f>IF(C16&lt;0,1,C16)</x:f>
        <x:v>1</x:v>
      </x:c>
      <x:c r="E16" s="114" t="n">
        <x:f>D16*$B$24</x:f>
        <x:v>0.9045897079276772</x:v>
      </x:c>
      <x:c r="F16" s="115" t="n">
        <x:f>$B$23*E16</x:f>
        <x:v>408573.0180806676</x:v>
      </x:c>
      <x:c r="G16" s="110" t="n">
        <x:f>Premissas!E24</x:f>
        <x:v>1.11384</x:v>
      </x:c>
      <x:c r="H16" s="99" t="n">
        <x:f>ROUND(F16*G16,2)</x:f>
        <x:v>455084.97</x:v>
      </x:c>
      <x:c r="I16" s="98" t="str">
        <x:f>IF(B16&lt;0,"Negativo tratado","")</x:f>
        <x:v>Negativo tratado</x:v>
      </x:c>
    </x:row>
    <x:row r="17">
      <x:c r="A17" s="98" t="str">
        <x:v>out</x:v>
      </x:c>
      <x:c r="B17" s="103" t="n">
        <x:f>Dados!F17</x:f>
        <x:v>295000</x:v>
      </x:c>
      <x:c r="C17" s="110" t="n">
        <x:f>IF($B$23=0,0,B17/$B$23)</x:f>
        <x:v>0.6531365313653136</x:v>
      </x:c>
      <x:c r="D17" s="114" t="n">
        <x:f>IF(C17&lt;0,1,C17)</x:f>
        <x:v>0.6531365313653136</x:v>
      </x:c>
      <x:c r="E17" s="114" t="n">
        <x:f>D17*$B$24</x:f>
        <x:v>0.5908205841446452</x:v>
      </x:c>
      <x:c r="F17" s="115" t="n">
        <x:f>$B$23*E17</x:f>
        <x:v>266853.96383866476</x:v>
      </x:c>
      <x:c r="G17" s="110" t="n">
        <x:f>Premissas!E25</x:f>
        <x:v>1.11384</x:v>
      </x:c>
      <x:c r="H17" s="99" t="n">
        <x:f>ROUND(F17*G17,2)</x:f>
        <x:v>297232.62</x:v>
      </x:c>
      <x:c r="I17" s="98" t="str">
        <x:f>IF(B17&lt;0,"Negativo tratado","")</x:f>
      </x:c>
    </x:row>
    <x:row r="18">
      <x:c r="A18" s="98" t="str">
        <x:v>nov</x:v>
      </x:c>
      <x:c r="B18" s="103" t="n">
        <x:f>Dados!F18</x:f>
        <x:v>330000</x:v>
      </x:c>
      <x:c r="C18" s="110" t="n">
        <x:f>IF($B$23=0,0,B18/$B$23)</x:f>
        <x:v>0.7306273062730627</x:v>
      </x:c>
      <x:c r="D18" s="114" t="n">
        <x:f>IF(C18&lt;0,1,C18)</x:f>
        <x:v>0.7306273062730627</x:v>
      </x:c>
      <x:c r="E18" s="114" t="n">
        <x:f>D18*$B$24</x:f>
        <x:v>0.6609179415855354</x:v>
      </x:c>
      <x:c r="F18" s="115" t="n">
        <x:f>$B$23*E18</x:f>
        <x:v>298514.6036161335</x:v>
      </x:c>
      <x:c r="G18" s="110" t="n">
        <x:f>Premissas!E26</x:f>
        <x:v>1.11384</x:v>
      </x:c>
      <x:c r="H18" s="99" t="n">
        <x:f>ROUND(F18*G18,2)</x:f>
        <x:v>332497.51</x:v>
      </x:c>
      <x:c r="I18" s="98" t="str">
        <x:f>IF(B18&lt;0,"Negativo tratado","")</x:f>
      </x:c>
    </x:row>
    <x:row r="19">
      <x:c r="A19" s="98" t="str">
        <x:v>dez</x:v>
      </x:c>
      <x:c r="B19" s="103" t="n">
        <x:f>Dados!F19</x:f>
        <x:v>370000</x:v>
      </x:c>
      <x:c r="C19" s="110" t="n">
        <x:f>IF($B$23=0,0,B19/$B$23)</x:f>
        <x:v>0.8191881918819188</x:v>
      </x:c>
      <x:c r="D19" s="114" t="n">
        <x:f>IF(C19&lt;0,1,C19)</x:f>
        <x:v>0.8191881918819188</x:v>
      </x:c>
      <x:c r="E19" s="114" t="n">
        <x:f>D19*$B$24</x:f>
        <x:v>0.741029207232267</x:v>
      </x:c>
      <x:c r="F19" s="115" t="n">
        <x:f>$B$23*E19</x:f>
        <x:v>334698.19193324057</x:v>
      </x:c>
      <x:c r="G19" s="110" t="n">
        <x:f>Premissas!E27</x:f>
        <x:v>1.11384</x:v>
      </x:c>
      <x:c r="H19" s="99" t="n">
        <x:f>ROUND(F19*G19,2)</x:f>
        <x:v>372800.23</x:v>
      </x:c>
      <x:c r="I19" s="98" t="str">
        <x:f>IF(B19&lt;0,"Negativo tratado","")</x:f>
      </x:c>
    </x:row>
    <x:row r="20">
      <x:c r="A20" s="97"/>
      <x:c r="B20" s="97"/>
      <x:c r="C20" s="97"/>
      <x:c r="D20" s="97"/>
      <x:c r="E20" s="97"/>
      <x:c r="F20" s="97"/>
      <x:c r="G20" s="97"/>
      <x:c r="H20" s="97"/>
      <x:c r="I20" s="97"/>
    </x:row>
    <x:row r="21">
      <x:c r="A21" s="97"/>
      <x:c r="B21" s="97"/>
      <x:c r="C21" s="97"/>
      <x:c r="D21" s="97"/>
      <x:c r="E21" s="97"/>
      <x:c r="F21" s="97"/>
      <x:c r="G21" s="97"/>
      <x:c r="H21" s="97"/>
      <x:c r="I21" s="97"/>
    </x:row>
    <x:row r="22">
      <x:c r="A22" s="39" t="str">
        <x:v>Total da base</x:v>
      </x:c>
      <x:c r="B22" s="99" t="n">
        <x:f>SUM(B8:B19)</x:f>
        <x:v>5420000</x:v>
      </x:c>
      <x:c r="C22" s="97"/>
      <x:c r="D22" s="100" t="str">
        <x:v>Limite de uso
O MMV trata o formato da base, não explica a causa da arrecadação negativa. Antes de aplicá-lo, confirme se o valor decorre de estorno, dedução ou ajuste; avalie recorrência; e guarde o documento de suporte. Após o tratamento, qualquer modelo adequado pode usar os valores ajustados.</x:v>
      </x:c>
      <x:c r="E22" s="100"/>
      <x:c r="F22" s="100"/>
      <x:c r="G22" s="100"/>
      <x:c r="H22" s="100"/>
      <x:c r="I22" s="100"/>
    </x:row>
    <x:row r="23">
      <x:c r="A23" s="39" t="str">
        <x:v>Média da base</x:v>
      </x:c>
      <x:c r="B23" s="99" t="n">
        <x:f>B22/12</x:f>
        <x:v>451666.6666666667</x:v>
      </x:c>
      <x:c r="C23" s="97"/>
      <x:c r="D23" s="100"/>
      <x:c r="E23" s="100"/>
      <x:c r="F23" s="100"/>
      <x:c r="G23" s="100"/>
      <x:c r="H23" s="100"/>
      <x:c r="I23" s="100"/>
    </x:row>
    <x:row r="24">
      <x:c r="A24" s="39" t="str">
        <x:v>Fator de normalização</x:v>
      </x:c>
      <x:c r="B24" s="110" t="n">
        <x:f>IF(SUM(D8:D19)=0,0,12/SUM(D8:D19))</x:f>
        <x:v>0.9045897079276772</x:v>
      </x:c>
      <x:c r="C24" s="97"/>
      <x:c r="D24" s="100"/>
      <x:c r="E24" s="100"/>
      <x:c r="F24" s="100"/>
      <x:c r="G24" s="100"/>
      <x:c r="H24" s="100"/>
      <x:c r="I24" s="100"/>
    </x:row>
    <x:row r="25">
      <x:c r="A25" s="39" t="str">
        <x:v>Soma dos índices</x:v>
      </x:c>
      <x:c r="B25" s="110" t="n">
        <x:f>SUM(E8:E19)</x:f>
        <x:v>11.999999999999996</x:v>
      </x:c>
      <x:c r="C25" s="97"/>
      <x:c r="D25" s="100"/>
      <x:c r="E25" s="100"/>
      <x:c r="F25" s="100"/>
      <x:c r="G25" s="100"/>
      <x:c r="H25" s="100"/>
      <x:c r="I25" s="100"/>
    </x:row>
    <x:row r="26">
      <x:c r="A26" s="39" t="str">
        <x:v>Total ajustado</x:v>
      </x:c>
      <x:c r="B26" s="99" t="n">
        <x:f>SUM(F8:F19)</x:f>
        <x:v>5420000</x:v>
      </x:c>
      <x:c r="C26" s="97"/>
      <x:c r="D26" s="100"/>
      <x:c r="E26" s="100"/>
      <x:c r="F26" s="100"/>
      <x:c r="G26" s="100"/>
      <x:c r="H26" s="100"/>
      <x:c r="I26" s="100"/>
    </x:row>
    <x:row r="27">
      <x:c r="A27" s="39" t="str">
        <x:v>Diferença ajustado - base</x:v>
      </x:c>
      <x:c r="B27" s="99" t="n">
        <x:f>B26-B22</x:f>
        <x:v>0</x:v>
      </x:c>
      <x:c r="C27" s="97"/>
      <x:c r="D27" s="100"/>
      <x:c r="E27" s="100"/>
      <x:c r="F27" s="100"/>
      <x:c r="G27" s="100"/>
      <x:c r="H27" s="100"/>
      <x:c r="I27" s="100"/>
    </x:row>
    <x:row r="28">
      <x:c r="A28" s="39" t="str">
        <x:v>Validação</x:v>
      </x:c>
      <x:c r="B28" s="98" t="str">
        <x:f>IF(B22&lt;=0,"ERRO: total não positivo",IF(ABS(B27)&lt;0.01,"OK — total preservado","ERRO — revisar normalização"))</x:f>
        <x:v>OK — total preservado</x:v>
      </x:c>
      <x:c r="C28" s="97"/>
      <x:c r="D28" s="100"/>
      <x:c r="E28" s="100"/>
      <x:c r="F28" s="100"/>
      <x:c r="G28" s="100"/>
      <x:c r="H28" s="100"/>
      <x:c r="I28" s="100"/>
    </x:row>
  </x:sheetData>
  <x:mergeCells>
    <x:mergeCell ref="A1:I2"/>
    <x:mergeCell ref="A3:I3"/>
    <x:mergeCell ref="D22:I28"/>
  </x:mergeCells>
  <x:conditionalFormatting sqref="B8:B19">
    <x:cfRule type="cellIs" dxfId="2" priority="1" operator="lessThan">
      <x:formula>0</x:formula>
    </x:cfRule>
  </x:conditionalFormatting>
  <x:conditionalFormatting sqref="B28:B28">
    <x:cfRule type="containsText" dxfId="3" priority="2" operator="containsText" text="OK"/>
    <x:cfRule type="containsText" dxfId="4" priority="3" operator="containsText" text="ERRO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7" hidden="0" customWidth="1"/>
    <x:col min="3" max="3" width="28" hidden="0" customWidth="1"/>
    <x:col min="4" max="4" width="34" hidden="0" customWidth="1"/>
    <x:col min="5" max="5" width="18" hidden="0" customWidth="1"/>
    <x:col min="6" max="6" width="18" hidden="0" customWidth="1"/>
  </x:cols>
  <x:sheetData>
    <x:row r="1" ht="36" customHeight="1">
      <x:c r="A1" s="5" t="str">
        <x:v>Controles e validação</x:v>
      </x:c>
      <x:c r="B1" s="5" t="str">
        <x:v>Controles e validação</x:v>
      </x:c>
      <x:c r="C1" s="5" t="str">
        <x:v>Controles e validação</x:v>
      </x:c>
      <x:c r="D1" s="5" t="str">
        <x:v>Controles e validação</x:v>
      </x:c>
      <x:c r="E1" s="5" t="str">
        <x:v>Controles e validação</x:v>
      </x:c>
      <x:c r="F1" s="5" t="str">
        <x:v>Controles e validação</x:v>
      </x:c>
    </x:row>
    <x:row r="2" ht="36" customHeight="1">
      <x:c r="A2" s="5" t="str">
        <x:v>Controles e validação</x:v>
      </x:c>
      <x:c r="B2" s="5" t="str">
        <x:v>Controles e validação</x:v>
      </x:c>
      <x:c r="C2" s="5" t="str">
        <x:v>Controles e validação</x:v>
      </x:c>
      <x:c r="D2" s="5" t="str">
        <x:v>Controles e validação</x:v>
      </x:c>
      <x:c r="E2" s="5" t="str">
        <x:v>Controles e validação</x:v>
      </x:c>
      <x:c r="F2" s="5" t="str">
        <x:v>Controles e validação</x:v>
      </x:c>
    </x:row>
    <x:row r="3" ht="30" customHeight="1">
      <x:c r="A3" s="8" t="str">
        <x:v>Os testes automáticos sinalizam inconsistências; a conclusão final depende de evidência e revisão técnica.</x:v>
      </x:c>
      <x:c r="B3" s="8" t="str">
        <x:v>Os testes automáticos sinalizam inconsistências; a conclusão final depende de evidência e revisão técnica.</x:v>
      </x:c>
      <x:c r="C3" s="8" t="str">
        <x:v>Os testes automáticos sinalizam inconsistências; a conclusão final depende de evidência e revisão técnica.</x:v>
      </x:c>
      <x:c r="D3" s="8" t="str">
        <x:v>Os testes automáticos sinalizam inconsistências; a conclusão final depende de evidência e revisão técnica.</x:v>
      </x:c>
      <x:c r="E3" s="8" t="str">
        <x:v>Os testes automáticos sinalizam inconsistências; a conclusão final depende de evidência e revisão técnica.</x:v>
      </x:c>
      <x:c r="F3" s="8" t="str">
        <x:v>Os testes automáticos sinalizam inconsistências; a conclusão final depende de evidência e revisão técnica.</x:v>
      </x:c>
    </x:row>
    <x:row r="4">
      <x:c r="A4" s="97"/>
      <x:c r="B4" s="97"/>
      <x:c r="C4" s="97"/>
      <x:c r="D4" s="97"/>
      <x:c r="E4" s="97"/>
      <x:c r="F4" s="97"/>
    </x:row>
    <x:row r="5">
      <x:c r="A5" s="97"/>
      <x:c r="B5" s="97"/>
      <x:c r="C5" s="97"/>
      <x:c r="D5" s="97"/>
      <x:c r="E5" s="97"/>
      <x:c r="F5" s="97"/>
    </x:row>
    <x:row r="6">
      <x:c r="A6" s="26" t="str">
        <x:v>Controle</x:v>
      </x:c>
      <x:c r="B6" s="26" t="str">
        <x:v>Critério</x:v>
      </x:c>
      <x:c r="C6" s="26" t="str">
        <x:v>Resultado</x:v>
      </x:c>
      <x:c r="D6" s="26" t="str">
        <x:v>Ação quando não OK</x:v>
      </x:c>
      <x:c r="E6" s="97"/>
      <x:c r="F6" s="97"/>
    </x:row>
    <x:row r="7" ht="30" customHeight="1">
      <x:c r="A7" s="101" t="str">
        <x:v>Série histórica</x:v>
      </x:c>
      <x:c r="B7" s="101" t="str">
        <x:v>36 valores mensais preenchidos</x:v>
      </x:c>
      <x:c r="C7" s="101" t="str">
        <x:f>IF(COUNT(Dados!B8:D19)=36,"OK","PENDENTE")</x:f>
        <x:v>OK</x:v>
      </x:c>
      <x:c r="D7" s="101" t="str">
        <x:v>Completar ou justificar lacunas</x:v>
      </x:c>
      <x:c r="E7" s="97"/>
      <x:c r="F7" s="97"/>
    </x:row>
    <x:row r="8" ht="30" customHeight="1">
      <x:c r="A8" s="101" t="str">
        <x:v>Total da base</x:v>
      </x:c>
      <x:c r="B8" s="101" t="str">
        <x:v>Total ajustado do Ano -1 deve ser positivo</x:v>
      </x:c>
      <x:c r="C8" s="101" t="str">
        <x:f>IF(SUM(Dados!F8:F19)&gt;0,"OK","ERRO")</x:f>
        <x:v>OK</x:v>
      </x:c>
      <x:c r="D8" s="101" t="str">
        <x:v>Rever classificação e base</x:v>
      </x:c>
      <x:c r="E8" s="97"/>
      <x:c r="F8" s="97"/>
    </x:row>
    <x:row r="9" ht="30" customHeight="1">
      <x:c r="A9" s="101" t="str">
        <x:v>Fatores</x:v>
      </x:c>
      <x:c r="B9" s="101" t="str">
        <x:v>Todos os índices devem ser maiores que zero</x:v>
      </x:c>
      <x:c r="C9" s="101" t="str">
        <x:f>IF(MIN(Premissas!B16:D27)&gt;0,"OK","ERRO")</x:f>
        <x:v>OK</x:v>
      </x:c>
      <x:c r="D9" s="101" t="str">
        <x:v>Corrigir índice e documentar fonte</x:v>
      </x:c>
      <x:c r="E9" s="97"/>
      <x:c r="F9" s="97"/>
    </x:row>
    <x:row r="10" ht="30" customHeight="1">
      <x:c r="A10" s="101" t="str">
        <x:v>Valor negativo</x:v>
      </x:c>
      <x:c r="B10" s="101" t="str">
        <x:v>Se houver, investigar causa e tratamento</x:v>
      </x:c>
      <x:c r="C10" s="101" t="str">
        <x:f>IF(MIN(Dados!F8:F19)&lt;0,"ATENÇÃO — valor negativo","OK")</x:f>
        <x:v>ATENÇÃO — valor negativo</x:v>
      </x:c>
      <x:c r="D10" s="101" t="str">
        <x:v>Obter razão do estorno/dedução</x:v>
      </x:c>
      <x:c r="E10" s="97"/>
      <x:c r="F10" s="97"/>
    </x:row>
    <x:row r="11" ht="30" customHeight="1">
      <x:c r="A11" s="101" t="str">
        <x:v>MMV</x:v>
      </x:c>
      <x:c r="B11" s="101" t="str">
        <x:v>Total ajustado deve ser igual ao total da base</x:v>
      </x:c>
      <x:c r="C11" s="101" t="str">
        <x:f>IF(ABS(MMV!B27)&lt;0.01,"OK","ERRO")</x:f>
        <x:v>OK</x:v>
      </x:c>
      <x:c r="D11" s="101" t="str">
        <x:v>Rever normalização</x:v>
      </x:c>
      <x:c r="E11" s="97"/>
      <x:c r="F11" s="97"/>
    </x:row>
    <x:row r="12" ht="30" customHeight="1">
      <x:c r="A12" s="101" t="str">
        <x:v>Modelo</x:v>
      </x:c>
      <x:c r="B12" s="101" t="str">
        <x:v>Um dos cinco modelos deve estar selecionado</x:v>
      </x:c>
      <x:c r="C12" s="101" t="str">
        <x:f>IF(COUNTIF(Modelos!E6:I6,Premissas!B7)=1,"OK","ERRO")</x:f>
        <x:v>OK</x:v>
      </x:c>
      <x:c r="D12" s="101" t="str">
        <x:v>Selecionar modelo válido</x:v>
      </x:c>
      <x:c r="E12" s="97"/>
      <x:c r="F12" s="97"/>
    </x:row>
    <x:row r="13" ht="30" customHeight="1">
      <x:c r="A13" s="101" t="str">
        <x:v>Projeção</x:v>
      </x:c>
      <x:c r="B13" s="101" t="str">
        <x:v>Total projetado deve ser positivo</x:v>
      </x:c>
      <x:c r="C13" s="101" t="str">
        <x:f>IF(Modelos!J20&gt;0,"OK","ERRO")</x:f>
        <x:v>OK</x:v>
      </x:c>
      <x:c r="D13" s="101" t="str">
        <x:v>Rever dados e fórmulas</x:v>
      </x:c>
      <x:c r="E13" s="97"/>
      <x:c r="F13" s="97"/>
    </x:row>
    <x:row r="14" ht="30" customHeight="1">
      <x:c r="A14" s="101" t="str">
        <x:v>Meses realizados</x:v>
      </x:c>
      <x:c r="B14" s="101" t="str">
        <x:v>Quantidade deve coincidir com o corte informado</x:v>
      </x:c>
      <x:c r="C14" s="101" t="str">
        <x:f>IF(COUNT(Dados!G8:G19)=Premissas!B10,"OK","REVISAR")</x:f>
        <x:v>OK</x:v>
      </x:c>
      <x:c r="D14" s="101" t="str">
        <x:v>Ajustar data-base e meses</x:v>
      </x:c>
      <x:c r="E14" s="97"/>
      <x:c r="F14" s="97"/>
    </x:row>
    <x:row r="15">
      <x:c r="A15" s="97"/>
      <x:c r="B15" s="97"/>
      <x:c r="C15" s="97"/>
      <x:c r="D15" s="97"/>
      <x:c r="E15" s="97"/>
      <x:c r="F15" s="97"/>
    </x:row>
    <x:row r="16">
      <x:c r="A16" s="97"/>
      <x:c r="B16" s="97"/>
      <x:c r="C16" s="97"/>
      <x:c r="D16" s="97"/>
      <x:c r="E16" s="97"/>
      <x:c r="F16" s="97"/>
    </x:row>
    <x:row r="17" ht="24" customHeight="1">
      <x:c r="A17" s="14" t="str">
        <x:v>Checklist documental</x:v>
      </x:c>
      <x:c r="B17" s="15" t="str">
        <x:v>Checklist documental</x:v>
      </x:c>
      <x:c r="C17" s="15" t="str">
        <x:v>Checklist documental</x:v>
      </x:c>
      <x:c r="D17" s="15" t="str">
        <x:v>Checklist documental</x:v>
      </x:c>
      <x:c r="E17" s="15" t="str">
        <x:v>Checklist documental</x:v>
      </x:c>
      <x:c r="F17" s="16" t="str">
        <x:v>Checklist documental</x:v>
      </x:c>
    </x:row>
    <x:row r="18">
      <x:c r="A18" s="26" t="str">
        <x:v>Evidência</x:v>
      </x:c>
      <x:c r="B18" s="26" t="str">
        <x:v>Status</x:v>
      </x:c>
      <x:c r="C18" s="26" t="str">
        <x:v>Referência / caminho / observação</x:v>
      </x:c>
      <x:c r="D18" s="97"/>
      <x:c r="E18" s="97"/>
      <x:c r="F18" s="97"/>
    </x:row>
    <x:row r="19">
      <x:c r="A19" s="98" t="str">
        <x:v>Relatório de arrecadação por natureza e mês</x:v>
      </x:c>
      <x:c r="B19" s="106" t="str">
        <x:v>Pendente</x:v>
      </x:c>
      <x:c r="C19" s="106" t="str">
        <x:v>Preencher</x:v>
      </x:c>
      <x:c r="D19" s="97"/>
      <x:c r="E19" s="97"/>
      <x:c r="F19" s="97"/>
    </x:row>
    <x:row r="20">
      <x:c r="A20" s="98" t="str">
        <x:v>Mapa de classificação antiga × nova</x:v>
      </x:c>
      <x:c r="B20" s="106" t="str">
        <x:v>Pendente</x:v>
      </x:c>
      <x:c r="C20" s="106" t="str">
        <x:v>Preencher</x:v>
      </x:c>
      <x:c r="D20" s="97"/>
      <x:c r="E20" s="97"/>
      <x:c r="F20" s="97"/>
    </x:row>
    <x:row r="21">
      <x:c r="A21" s="98" t="str">
        <x:v>Memória dos ajustes/atipicidades</x:v>
      </x:c>
      <x:c r="B21" s="106" t="str">
        <x:v>Pendente</x:v>
      </x:c>
      <x:c r="C21" s="106" t="str">
        <x:v>Preencher</x:v>
      </x:c>
      <x:c r="D21" s="97"/>
      <x:c r="E21" s="97"/>
      <x:c r="F21" s="97"/>
    </x:row>
    <x:row r="22">
      <x:c r="A22" s="98" t="str">
        <x:v>Fonte do índice de preço</x:v>
      </x:c>
      <x:c r="B22" s="106" t="str">
        <x:v>Pendente</x:v>
      </x:c>
      <x:c r="C22" s="106" t="str">
        <x:v>Preencher</x:v>
      </x:c>
      <x:c r="D22" s="97"/>
      <x:c r="E22" s="97"/>
      <x:c r="F22" s="97"/>
    </x:row>
    <x:row r="23">
      <x:c r="A23" s="98" t="str">
        <x:v>Fonte do índice de quantidade</x:v>
      </x:c>
      <x:c r="B23" s="106" t="str">
        <x:v>Pendente</x:v>
      </x:c>
      <x:c r="C23" s="106" t="str">
        <x:v>Preencher</x:v>
      </x:c>
      <x:c r="D23" s="97"/>
      <x:c r="E23" s="97"/>
      <x:c r="F23" s="97"/>
    </x:row>
    <x:row r="24">
      <x:c r="A24" s="98" t="str">
        <x:v>Norma/contrato do efeito legislação</x:v>
      </x:c>
      <x:c r="B24" s="106" t="str">
        <x:v>Pendente</x:v>
      </x:c>
      <x:c r="C24" s="106" t="str">
        <x:v>Preencher</x:v>
      </x:c>
      <x:c r="D24" s="97"/>
      <x:c r="E24" s="97"/>
      <x:c r="F24" s="97"/>
    </x:row>
    <x:row r="25">
      <x:c r="A25" s="98" t="str">
        <x:v>Aprovação e data da revisão</x:v>
      </x:c>
      <x:c r="B25" s="106" t="str">
        <x:v>Pendente</x:v>
      </x:c>
      <x:c r="C25" s="106" t="str">
        <x:v>Preencher</x:v>
      </x:c>
      <x:c r="D25" s="97"/>
      <x:c r="E25" s="97"/>
      <x:c r="F25" s="97"/>
    </x:row>
    <x:row r="26">
      <x:c r="A26" s="97"/>
      <x:c r="B26" s="97"/>
      <x:c r="C26" s="97"/>
      <x:c r="D26" s="97"/>
      <x:c r="E26" s="97"/>
      <x:c r="F26" s="97"/>
    </x:row>
    <x:row r="27">
      <x:c r="A27" s="97"/>
      <x:c r="B27" s="97"/>
      <x:c r="C27" s="97"/>
      <x:c r="D27" s="97"/>
      <x:c r="E27" s="97"/>
      <x:c r="F27" s="97"/>
    </x:row>
    <x:row r="28" ht="24" customHeight="1">
      <x:c r="A28" s="14" t="str">
        <x:v>Backtest simplificado — controle complementar (não é fórmula imposta pelo MDF)</x:v>
      </x:c>
      <x:c r="B28" s="15" t="str">
        <x:v>Backtest simplificado — controle complementar (não é fórmula imposta pelo MDF)</x:v>
      </x:c>
      <x:c r="C28" s="15" t="str">
        <x:v>Backtest simplificado — controle complementar (não é fórmula imposta pelo MDF)</x:v>
      </x:c>
      <x:c r="D28" s="15" t="str">
        <x:v>Backtest simplificado — controle complementar (não é fórmula imposta pelo MDF)</x:v>
      </x:c>
      <x:c r="E28" s="15" t="str">
        <x:v>Backtest simplificado — controle complementar (não é fórmula imposta pelo MDF)</x:v>
      </x:c>
      <x:c r="F28" s="16" t="str">
        <x:v>Backtest simplificado — controle complementar (não é fórmula imposta pelo MDF)</x:v>
      </x:c>
    </x:row>
    <x:row r="29">
      <x:c r="A29" s="26" t="str">
        <x:v>Mês</x:v>
      </x:c>
      <x:c r="B29" s="26" t="str">
        <x:v>Realizado Ano -1</x:v>
      </x:c>
      <x:c r="C29" s="26" t="str">
        <x:v>Previsão sazonal com Ano -2</x:v>
      </x:c>
      <x:c r="D29" s="26" t="str">
        <x:v>Erro</x:v>
      </x:c>
      <x:c r="E29" s="26" t="str">
        <x:v>|Realizado|</x:v>
      </x:c>
      <x:c r="F29" s="26" t="str">
        <x:v>|Erro|</x:v>
      </x:c>
    </x:row>
    <x:row r="30">
      <x:c r="A30" s="98" t="str">
        <x:f>Dados!A8</x:f>
        <x:v>jan</x:v>
      </x:c>
      <x:c r="B30" s="99" t="n">
        <x:f>Dados!F8</x:f>
        <x:v>460000</x:v>
      </x:c>
      <x:c r="C30" s="99" t="n">
        <x:f>Dados!C8</x:f>
        <x:v>435000</x:v>
      </x:c>
      <x:c r="D30" s="99" t="n">
        <x:f>C30-B30</x:f>
        <x:v>-25000</x:v>
      </x:c>
      <x:c r="E30" s="99" t="n">
        <x:f>ABS(B30)</x:f>
        <x:v>460000</x:v>
      </x:c>
      <x:c r="F30" s="99" t="n">
        <x:f>ABS(D30)</x:f>
        <x:v>25000</x:v>
      </x:c>
    </x:row>
    <x:row r="31">
      <x:c r="A31" s="98" t="str">
        <x:f>Dados!A9</x:f>
        <x:v>fev</x:v>
      </x:c>
      <x:c r="B31" s="99" t="n">
        <x:f>Dados!F9</x:f>
        <x:v>690000</x:v>
      </x:c>
      <x:c r="C31" s="99" t="n">
        <x:f>Dados!C9</x:f>
        <x:v>625000</x:v>
      </x:c>
      <x:c r="D31" s="99" t="n">
        <x:f>C31-B31</x:f>
        <x:v>-65000</x:v>
      </x:c>
      <x:c r="E31" s="99" t="n">
        <x:f>ABS(B31)</x:f>
        <x:v>690000</x:v>
      </x:c>
      <x:c r="F31" s="99" t="n">
        <x:f>ABS(D31)</x:f>
        <x:v>65000</x:v>
      </x:c>
    </x:row>
    <x:row r="32">
      <x:c r="A32" s="98" t="str">
        <x:f>Dados!A10</x:f>
        <x:v>mar</x:v>
      </x:c>
      <x:c r="B32" s="99" t="n">
        <x:f>Dados!F10</x:f>
        <x:v>1320000</x:v>
      </x:c>
      <x:c r="C32" s="99" t="n">
        <x:f>Dados!C10</x:f>
        <x:v>1185000</x:v>
      </x:c>
      <x:c r="D32" s="99" t="n">
        <x:f>C32-B32</x:f>
        <x:v>-135000</x:v>
      </x:c>
      <x:c r="E32" s="99" t="n">
        <x:f>ABS(B32)</x:f>
        <x:v>1320000</x:v>
      </x:c>
      <x:c r="F32" s="99" t="n">
        <x:f>ABS(D32)</x:f>
        <x:v>135000</x:v>
      </x:c>
    </x:row>
    <x:row r="33">
      <x:c r="A33" s="98" t="str">
        <x:f>Dados!A11</x:f>
        <x:v>abr</x:v>
      </x:c>
      <x:c r="B33" s="99" t="n">
        <x:f>Dados!F11</x:f>
        <x:v>930000</x:v>
      </x:c>
      <x:c r="C33" s="99" t="n">
        <x:f>Dados!C11</x:f>
        <x:v>862000</x:v>
      </x:c>
      <x:c r="D33" s="99" t="n">
        <x:f>C33-B33</x:f>
        <x:v>-68000</x:v>
      </x:c>
      <x:c r="E33" s="99" t="n">
        <x:f>ABS(B33)</x:f>
        <x:v>930000</x:v>
      </x:c>
      <x:c r="F33" s="99" t="n">
        <x:f>ABS(D33)</x:f>
        <x:v>68000</x:v>
      </x:c>
    </x:row>
    <x:row r="34">
      <x:c r="A34" s="98" t="str">
        <x:f>Dados!A12</x:f>
        <x:v>mai</x:v>
      </x:c>
      <x:c r="B34" s="99" t="n">
        <x:f>Dados!F12</x:f>
        <x:v>350000</x:v>
      </x:c>
      <x:c r="C34" s="99" t="n">
        <x:f>Dados!C12</x:f>
        <x:v>325000</x:v>
      </x:c>
      <x:c r="D34" s="99" t="n">
        <x:f>C34-B34</x:f>
        <x:v>-25000</x:v>
      </x:c>
      <x:c r="E34" s="99" t="n">
        <x:f>ABS(B34)</x:f>
        <x:v>350000</x:v>
      </x:c>
      <x:c r="F34" s="99" t="n">
        <x:f>ABS(D34)</x:f>
        <x:v>25000</x:v>
      </x:c>
    </x:row>
    <x:row r="35">
      <x:c r="A35" s="98" t="str">
        <x:f>Dados!A13</x:f>
        <x:v>jun</x:v>
      </x:c>
      <x:c r="B35" s="99" t="n">
        <x:f>Dados!F13</x:f>
        <x:v>265000</x:v>
      </x:c>
      <x:c r="C35" s="99" t="n">
        <x:f>Dados!C13</x:f>
        <x:v>245000</x:v>
      </x:c>
      <x:c r="D35" s="99" t="n">
        <x:f>C35-B35</x:f>
        <x:v>-20000</x:v>
      </x:c>
      <x:c r="E35" s="99" t="n">
        <x:f>ABS(B35)</x:f>
        <x:v>265000</x:v>
      </x:c>
      <x:c r="F35" s="99" t="n">
        <x:f>ABS(D35)</x:f>
        <x:v>20000</x:v>
      </x:c>
    </x:row>
    <x:row r="36">
      <x:c r="A36" s="98" t="str">
        <x:f>Dados!A14</x:f>
        <x:v>jul</x:v>
      </x:c>
      <x:c r="B36" s="99" t="n">
        <x:f>Dados!F14</x:f>
        <x:v>255000</x:v>
      </x:c>
      <x:c r="C36" s="99" t="n">
        <x:f>Dados!C14</x:f>
        <x:v>235000</x:v>
      </x:c>
      <x:c r="D36" s="99" t="n">
        <x:f>C36-B36</x:f>
        <x:v>-20000</x:v>
      </x:c>
      <x:c r="E36" s="99" t="n">
        <x:f>ABS(B36)</x:f>
        <x:v>255000</x:v>
      </x:c>
      <x:c r="F36" s="99" t="n">
        <x:f>ABS(D36)</x:f>
        <x:v>20000</x:v>
      </x:c>
    </x:row>
    <x:row r="37">
      <x:c r="A37" s="98" t="str">
        <x:f>Dados!A15</x:f>
        <x:v>ago</x:v>
      </x:c>
      <x:c r="B37" s="99" t="n">
        <x:f>Dados!F15</x:f>
        <x:v>275000</x:v>
      </x:c>
      <x:c r="C37" s="99" t="n">
        <x:f>Dados!C15</x:f>
        <x:v>252000</x:v>
      </x:c>
      <x:c r="D37" s="99" t="n">
        <x:f>C37-B37</x:f>
        <x:v>-23000</x:v>
      </x:c>
      <x:c r="E37" s="99" t="n">
        <x:f>ABS(B37)</x:f>
        <x:v>275000</x:v>
      </x:c>
      <x:c r="F37" s="99" t="n">
        <x:f>ABS(D37)</x:f>
        <x:v>23000</x:v>
      </x:c>
    </x:row>
    <x:row r="38">
      <x:c r="A38" s="98" t="str">
        <x:f>Dados!A16</x:f>
        <x:v>set</x:v>
      </x:c>
      <x:c r="B38" s="99" t="n">
        <x:f>Dados!F16</x:f>
        <x:v>-120000</x:v>
      </x:c>
      <x:c r="C38" s="99" t="n">
        <x:f>Dados!C16</x:f>
        <x:v>265000</x:v>
      </x:c>
      <x:c r="D38" s="99" t="n">
        <x:f>C38-B38</x:f>
        <x:v>385000</x:v>
      </x:c>
      <x:c r="E38" s="99" t="n">
        <x:f>ABS(B38)</x:f>
        <x:v>120000</x:v>
      </x:c>
      <x:c r="F38" s="99" t="n">
        <x:f>ABS(D38)</x:f>
        <x:v>385000</x:v>
      </x:c>
    </x:row>
    <x:row r="39">
      <x:c r="A39" s="98" t="str">
        <x:f>Dados!A17</x:f>
        <x:v>out</x:v>
      </x:c>
      <x:c r="B39" s="99" t="n">
        <x:f>Dados!F17</x:f>
        <x:v>295000</x:v>
      </x:c>
      <x:c r="C39" s="99" t="n">
        <x:f>Dados!C17</x:f>
        <x:v>275000</x:v>
      </x:c>
      <x:c r="D39" s="99" t="n">
        <x:f>C39-B39</x:f>
        <x:v>-20000</x:v>
      </x:c>
      <x:c r="E39" s="99" t="n">
        <x:f>ABS(B39)</x:f>
        <x:v>295000</x:v>
      </x:c>
      <x:c r="F39" s="99" t="n">
        <x:f>ABS(D39)</x:f>
        <x:v>20000</x:v>
      </x:c>
    </x:row>
    <x:row r="40">
      <x:c r="A40" s="98" t="str">
        <x:f>Dados!A18</x:f>
        <x:v>nov</x:v>
      </x:c>
      <x:c r="B40" s="99" t="n">
        <x:f>Dados!F18</x:f>
        <x:v>330000</x:v>
      </x:c>
      <x:c r="C40" s="99" t="n">
        <x:f>Dados!C18</x:f>
        <x:v>305000</x:v>
      </x:c>
      <x:c r="D40" s="99" t="n">
        <x:f>C40-B40</x:f>
        <x:v>-25000</x:v>
      </x:c>
      <x:c r="E40" s="99" t="n">
        <x:f>ABS(B40)</x:f>
        <x:v>330000</x:v>
      </x:c>
      <x:c r="F40" s="99" t="n">
        <x:f>ABS(D40)</x:f>
        <x:v>25000</x:v>
      </x:c>
    </x:row>
    <x:row r="41">
      <x:c r="A41" s="98" t="str">
        <x:f>Dados!A19</x:f>
        <x:v>dez</x:v>
      </x:c>
      <x:c r="B41" s="99" t="n">
        <x:f>Dados!F19</x:f>
        <x:v>370000</x:v>
      </x:c>
      <x:c r="C41" s="99" t="n">
        <x:f>Dados!C19</x:f>
        <x:v>342000</x:v>
      </x:c>
      <x:c r="D41" s="99" t="n">
        <x:f>C41-B41</x:f>
        <x:v>-28000</x:v>
      </x:c>
      <x:c r="E41" s="99" t="n">
        <x:f>ABS(B41)</x:f>
        <x:v>370000</x:v>
      </x:c>
      <x:c r="F41" s="99" t="n">
        <x:f>ABS(D41)</x:f>
        <x:v>28000</x:v>
      </x:c>
    </x:row>
    <x:row r="42">
      <x:c r="A42" s="97"/>
      <x:c r="B42" s="97"/>
      <x:c r="C42" s="97"/>
      <x:c r="D42" s="97"/>
      <x:c r="E42" s="97"/>
      <x:c r="F42" s="97"/>
    </x:row>
    <x:row r="43">
      <x:c r="A43" s="97"/>
      <x:c r="B43" s="97"/>
      <x:c r="C43" s="97"/>
      <x:c r="D43" s="97"/>
      <x:c r="E43" s="97"/>
      <x:c r="F43" s="97"/>
    </x:row>
    <x:row r="44">
      <x:c r="A44" s="98" t="str">
        <x:v>WAPE</x:v>
      </x:c>
      <x:c r="B44" s="111" t="n">
        <x:f>IF(SUM(E30:E41)=0,0,SUM(F30:F41)/SUM(E30:E41))</x:f>
        <x:v>0.1482332155477032</x:v>
      </x:c>
      <x:c r="C44" s="97"/>
      <x:c r="D44" s="109" t="str">
        <x:v>Interpretação: WAPE mede o erro absoluto em relação ao volume; o viés mostra tendência de super ou subestimar. Refaça o teste com fatores históricos quando houver dados confiáveis.</x:v>
      </x:c>
      <x:c r="E44" s="109"/>
      <x:c r="F44" s="109"/>
    </x:row>
    <x:row r="45">
      <x:c r="A45" s="98" t="str">
        <x:v>Viés</x:v>
      </x:c>
      <x:c r="B45" s="111" t="n">
        <x:f>IF(SUM(B30:B41)=0,0,SUM(D30:D41)/SUM(B30:B41))</x:f>
        <x:v>-0.012730627306273062</x:v>
      </x:c>
      <x:c r="C45" s="97"/>
      <x:c r="D45" s="109"/>
      <x:c r="E45" s="109"/>
      <x:c r="F45" s="109"/>
    </x:row>
    <x:row r="46">
      <x:c r="A46" s="97"/>
      <x:c r="B46" s="97"/>
      <x:c r="C46" s="97"/>
      <x:c r="D46" s="109"/>
      <x:c r="E46" s="109"/>
      <x:c r="F46" s="109"/>
    </x:row>
    <x:row r="47">
      <x:c r="A47" s="97"/>
      <x:c r="B47" s="97"/>
      <x:c r="C47" s="97"/>
      <x:c r="D47" s="109"/>
      <x:c r="E47" s="109"/>
      <x:c r="F47" s="109"/>
    </x:row>
  </x:sheetData>
  <x:mergeCells>
    <x:mergeCell ref="A1:F2"/>
    <x:mergeCell ref="A3:F3"/>
    <x:mergeCell ref="A17:F17"/>
    <x:mergeCell ref="A28:F28"/>
    <x:mergeCell ref="D44:F47"/>
  </x:mergeCells>
  <x:conditionalFormatting sqref="C7:C14">
    <x:cfRule type="containsText" dxfId="5" priority="1" operator="containsText" text="OK"/>
    <x:cfRule type="containsText" dxfId="6" priority="2" operator="containsText" text="ERRO"/>
    <x:cfRule type="containsText" dxfId="7" priority="3" operator="containsText" text="ATENÇÃO"/>
    <x:cfRule type="containsText" dxfId="8" priority="4" operator="containsText" text="PENDENTE"/>
  </x:conditionalFormatting>
  <x:dataValidations count="1">
    <x:dataValidation type="list" sqref="B19:B25">
      <x:formula1>"Pendente,Anexado,Não aplicável"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6" customHeight="1">
      <x:c r="A1" s="5" t="str">
        <x:v>Atividades práticas do Módulo 05</x:v>
      </x:c>
      <x:c r="B1" s="5" t="str">
        <x:v>Atividades práticas do Módulo 05</x:v>
      </x:c>
      <x:c r="C1" s="5" t="str">
        <x:v>Atividades práticas do Módulo 05</x:v>
      </x:c>
      <x:c r="D1" s="5" t="str">
        <x:v>Atividades práticas do Módulo 05</x:v>
      </x:c>
      <x:c r="E1" s="5" t="str">
        <x:v>Atividades práticas do Módulo 05</x:v>
      </x:c>
      <x:c r="F1" s="5" t="str">
        <x:v>Atividades práticas do Módulo 05</x:v>
      </x:c>
      <x:c r="G1" s="5" t="str">
        <x:v>Atividades práticas do Módulo 05</x:v>
      </x:c>
      <x:c r="H1" s="5" t="str">
        <x:v>Atividades práticas do Módulo 05</x:v>
      </x:c>
    </x:row>
    <x:row r="2" ht="36" customHeight="1">
      <x:c r="A2" s="5" t="str">
        <x:v>Atividades práticas do Módulo 05</x:v>
      </x:c>
      <x:c r="B2" s="5" t="str">
        <x:v>Atividades práticas do Módulo 05</x:v>
      </x:c>
      <x:c r="C2" s="5" t="str">
        <x:v>Atividades práticas do Módulo 05</x:v>
      </x:c>
      <x:c r="D2" s="5" t="str">
        <x:v>Atividades práticas do Módulo 05</x:v>
      </x:c>
      <x:c r="E2" s="5" t="str">
        <x:v>Atividades práticas do Módulo 05</x:v>
      </x:c>
      <x:c r="F2" s="5" t="str">
        <x:v>Atividades práticas do Módulo 05</x:v>
      </x:c>
      <x:c r="G2" s="5" t="str">
        <x:v>Atividades práticas do Módulo 05</x:v>
      </x:c>
      <x:c r="H2" s="5" t="str">
        <x:v>Atividades práticas do Módulo 05</x:v>
      </x:c>
    </x:row>
    <x:row r="3" ht="30" customHeight="1">
      <x:c r="A3" s="8" t="str">
        <x:v>Use a planilha como papel de trabalho. Cada atividade gera uma evidência que pode ser salva ou anexada no aplicativo.</x:v>
      </x:c>
      <x:c r="B3" s="8" t="str">
        <x:v>Use a planilha como papel de trabalho. Cada atividade gera uma evidência que pode ser salva ou anexada no aplicativo.</x:v>
      </x:c>
      <x:c r="C3" s="8" t="str">
        <x:v>Use a planilha como papel de trabalho. Cada atividade gera uma evidência que pode ser salva ou anexada no aplicativo.</x:v>
      </x:c>
      <x:c r="D3" s="8" t="str">
        <x:v>Use a planilha como papel de trabalho. Cada atividade gera uma evidência que pode ser salva ou anexada no aplicativo.</x:v>
      </x:c>
      <x:c r="E3" s="8" t="str">
        <x:v>Use a planilha como papel de trabalho. Cada atividade gera uma evidência que pode ser salva ou anexada no aplicativo.</x:v>
      </x:c>
      <x:c r="F3" s="8" t="str">
        <x:v>Use a planilha como papel de trabalho. Cada atividade gera uma evidência que pode ser salva ou anexada no aplicativo.</x:v>
      </x:c>
      <x:c r="G3" s="8" t="str">
        <x:v>Use a planilha como papel de trabalho. Cada atividade gera uma evidência que pode ser salva ou anexada no aplicativo.</x:v>
      </x:c>
      <x:c r="H3" s="8" t="str">
        <x:v>Use a planilha como papel de trabalho. Cada atividade gera uma evidência que pode ser salva ou anexada no aplicativo.</x:v>
      </x:c>
    </x:row>
    <x:row r="4">
      <x:c r="A4" s="97"/>
      <x:c r="B4" s="97"/>
      <x:c r="C4" s="97"/>
      <x:c r="D4" s="97"/>
      <x:c r="E4" s="97"/>
      <x:c r="F4" s="97"/>
      <x:c r="G4" s="97"/>
      <x:c r="H4" s="97"/>
    </x:row>
    <x:row r="5" ht="26" customHeight="1">
      <x:c r="A5" s="85" t="str">
        <x:v>Atividade 1 — Diagnóstico da série e escolha preliminar</x:v>
      </x:c>
      <x:c r="B5" s="85"/>
      <x:c r="C5" s="85"/>
      <x:c r="D5" s="85"/>
      <x:c r="E5" s="85"/>
      <x:c r="F5" s="85"/>
      <x:c r="G5" s="85"/>
      <x:c r="H5" s="85"/>
    </x:row>
    <x:row r="6" ht="30" customHeight="1">
      <x:c r="A6" s="116" t="str">
        <x:v>Competência: reconhecer sazonalidade, estabilidade, tendência, quebra de patamar, atipicidade e valor negativo.</x:v>
      </x:c>
      <x:c r="B6" s="116"/>
      <x:c r="C6" s="116"/>
      <x:c r="D6" s="116"/>
      <x:c r="E6" s="116"/>
      <x:c r="F6" s="116"/>
      <x:c r="G6" s="116"/>
      <x:c r="H6" s="116"/>
    </x:row>
    <x:row r="7" ht="30" customHeight="1">
      <x:c r="A7" s="117" t="str">
        <x:v>Insumos: aba Dados, gráfico do Painel e descrição do fato gerador.</x:v>
      </x:c>
      <x:c r="B7" s="117"/>
      <x:c r="C7" s="117"/>
      <x:c r="D7" s="117"/>
      <x:c r="E7" s="117"/>
      <x:c r="F7" s="117"/>
      <x:c r="G7" s="117"/>
      <x:c r="H7" s="117"/>
    </x:row>
    <x:row r="8" ht="42" customHeight="1">
      <x:c r="A8" s="116" t="str">
        <x:v>Procedimento: (1) compare os três exercícios; (2) marque meses de concentração; (3) investigue o valor negativo; (4) indique modelos plausíveis e modelos a descartar.</x:v>
      </x:c>
      <x:c r="B8" s="116"/>
      <x:c r="C8" s="116"/>
      <x:c r="D8" s="116"/>
      <x:c r="E8" s="116"/>
      <x:c r="F8" s="116"/>
      <x:c r="G8" s="116"/>
      <x:c r="H8" s="116"/>
    </x:row>
    <x:row r="9" ht="30" customHeight="1">
      <x:c r="A9" s="117" t="str">
        <x:v>Entrega: parecer de 5 a 8 linhas com modelo preliminar e duas evidências da série.</x:v>
      </x:c>
      <x:c r="B9" s="117"/>
      <x:c r="C9" s="117"/>
      <x:c r="D9" s="117"/>
      <x:c r="E9" s="117"/>
      <x:c r="F9" s="117"/>
      <x:c r="G9" s="117"/>
      <x:c r="H9" s="117"/>
    </x:row>
    <x:row r="10" ht="30" customHeight="1">
      <x:c r="A10" s="116" t="str">
        <x:v>Critério: a justificativa deve tratar o comportamento mensal e a natureza da receita; não basta escolher o maior resultado.</x:v>
      </x:c>
      <x:c r="B10" s="116"/>
      <x:c r="C10" s="116"/>
      <x:c r="D10" s="116"/>
      <x:c r="E10" s="116"/>
      <x:c r="F10" s="116"/>
      <x:c r="G10" s="116"/>
      <x:c r="H10" s="116"/>
    </x:row>
    <x:row r="11" ht="32" customHeight="1">
      <x:c r="A11" s="100" t="str">
        <x:v>Resposta / evidência do participante: </x:v>
      </x:c>
      <x:c r="B11" s="100"/>
      <x:c r="C11" s="100"/>
      <x:c r="D11" s="100"/>
      <x:c r="E11" s="100"/>
      <x:c r="F11" s="100"/>
      <x:c r="G11" s="100"/>
      <x:c r="H11" s="100"/>
    </x:row>
    <x:row r="12" ht="32" customHeight="1">
      <x:c r="A12" s="100"/>
      <x:c r="B12" s="100"/>
      <x:c r="C12" s="100"/>
      <x:c r="D12" s="100"/>
      <x:c r="E12" s="100"/>
      <x:c r="F12" s="100"/>
      <x:c r="G12" s="100"/>
      <x:c r="H12" s="100"/>
    </x:row>
    <x:row r="13">
      <x:c r="A13" s="97"/>
      <x:c r="B13" s="97"/>
      <x:c r="C13" s="97"/>
      <x:c r="D13" s="97"/>
      <x:c r="E13" s="97"/>
      <x:c r="F13" s="97"/>
      <x:c r="G13" s="97"/>
      <x:c r="H13" s="97"/>
    </x:row>
    <x:row r="14" ht="26" customHeight="1">
      <x:c r="A14" s="85" t="str">
        <x:v>Atividade 2 — Modelo Sazonal e fatores incrementais</x:v>
      </x:c>
      <x:c r="B14" s="85"/>
      <x:c r="C14" s="85"/>
      <x:c r="D14" s="85"/>
      <x:c r="E14" s="85"/>
      <x:c r="F14" s="85"/>
      <x:c r="G14" s="85"/>
      <x:c r="H14" s="85"/>
    </x:row>
    <x:row r="15" ht="30" customHeight="1">
      <x:c r="A15" s="116" t="str">
        <x:v>Competência: calcular a(t-12) com efeitos preço, quantidade e legislação.</x:v>
      </x:c>
      <x:c r="B15" s="116"/>
      <x:c r="C15" s="116"/>
      <x:c r="D15" s="116"/>
      <x:c r="E15" s="116"/>
      <x:c r="F15" s="116"/>
      <x:c r="G15" s="116"/>
      <x:c r="H15" s="116"/>
    </x:row>
    <x:row r="16" ht="30" customHeight="1">
      <x:c r="A16" s="117" t="str">
        <x:v>Insumos: Dados!F8:F19 e Premissas!B16:D27.</x:v>
      </x:c>
      <x:c r="B16" s="117"/>
      <x:c r="C16" s="117"/>
      <x:c r="D16" s="117"/>
      <x:c r="E16" s="117"/>
      <x:c r="F16" s="117"/>
      <x:c r="G16" s="117"/>
      <x:c r="H16" s="117"/>
    </x:row>
    <x:row r="17" ht="42" customHeight="1">
      <x:c r="A17" s="116" t="str">
        <x:v>Procedimento: valide a vigência de cada fator; recalcule a projeção mensal; confira se os picos permanecem nos meses históricos; explique o efeito da norma a partir de julho.</x:v>
      </x:c>
      <x:c r="B17" s="116"/>
      <x:c r="C17" s="116"/>
      <x:c r="D17" s="116"/>
      <x:c r="E17" s="116"/>
      <x:c r="F17" s="116"/>
      <x:c r="G17" s="116"/>
      <x:c r="H17" s="116"/>
    </x:row>
    <x:row r="18" ht="30" customHeight="1">
      <x:c r="A18" s="117" t="str">
        <x:v>Entrega: total anual do cenário sazonal, mês de maior projeção e memória dos três fatores.</x:v>
      </x:c>
      <x:c r="B18" s="117"/>
      <x:c r="C18" s="117"/>
      <x:c r="D18" s="117"/>
      <x:c r="E18" s="117"/>
      <x:c r="F18" s="117"/>
      <x:c r="G18" s="117"/>
      <x:c r="H18" s="117"/>
    </x:row>
    <x:row r="19" ht="30" customHeight="1">
      <x:c r="A19" s="116" t="str">
        <x:v>Critério: fórmula mensal = base do mesmo mês × índice de preço × índice de quantidade × efeito legislação.</x:v>
      </x:c>
      <x:c r="B19" s="116"/>
      <x:c r="C19" s="116"/>
      <x:c r="D19" s="116"/>
      <x:c r="E19" s="116"/>
      <x:c r="F19" s="116"/>
      <x:c r="G19" s="116"/>
      <x:c r="H19" s="116"/>
    </x:row>
    <x:row r="20" ht="32" customHeight="1">
      <x:c r="A20" s="100" t="str">
        <x:v>Resposta / evidência do participante: </x:v>
      </x:c>
      <x:c r="B20" s="100"/>
      <x:c r="C20" s="100"/>
      <x:c r="D20" s="100"/>
      <x:c r="E20" s="100"/>
      <x:c r="F20" s="100"/>
      <x:c r="G20" s="100"/>
      <x:c r="H20" s="100"/>
    </x:row>
    <x:row r="21" ht="32" customHeight="1">
      <x:c r="A21" s="100"/>
      <x:c r="B21" s="100"/>
      <x:c r="C21" s="100"/>
      <x:c r="D21" s="100"/>
      <x:c r="E21" s="100"/>
      <x:c r="F21" s="100"/>
      <x:c r="G21" s="100"/>
      <x:c r="H21" s="100"/>
    </x:row>
    <x:row r="22">
      <x:c r="A22" s="97"/>
      <x:c r="B22" s="97"/>
      <x:c r="C22" s="97"/>
      <x:c r="D22" s="97"/>
      <x:c r="E22" s="97"/>
      <x:c r="F22" s="97"/>
      <x:c r="G22" s="97"/>
      <x:c r="H22" s="97"/>
    </x:row>
    <x:row r="23" ht="26" customHeight="1">
      <x:c r="A23" s="85" t="str">
        <x:v>Atividade 3 — Média do ano anterior</x:v>
      </x:c>
      <x:c r="B23" s="85"/>
      <x:c r="C23" s="85"/>
      <x:c r="D23" s="85"/>
      <x:c r="E23" s="85"/>
      <x:c r="F23" s="85"/>
      <x:c r="G23" s="85"/>
      <x:c r="H23" s="85"/>
    </x:row>
    <x:row r="24" ht="30" customHeight="1">
      <x:c r="A24" s="116" t="str">
        <x:v>Competência: avaliar quando a média mensal representa adequadamente a receita.</x:v>
      </x:c>
      <x:c r="B24" s="116"/>
      <x:c r="C24" s="116"/>
      <x:c r="D24" s="116"/>
      <x:c r="E24" s="116"/>
      <x:c r="F24" s="116"/>
      <x:c r="G24" s="116"/>
      <x:c r="H24" s="116"/>
    </x:row>
    <x:row r="25" ht="30" customHeight="1">
      <x:c r="A25" s="117" t="str">
        <x:v>Insumos: Modelos!F8:F20 e comportamento histórico da aba Dados.</x:v>
      </x:c>
      <x:c r="B25" s="117"/>
      <x:c r="C25" s="117"/>
      <x:c r="D25" s="117"/>
      <x:c r="E25" s="117"/>
      <x:c r="F25" s="117"/>
      <x:c r="G25" s="117"/>
      <x:c r="H25" s="117"/>
    </x:row>
    <x:row r="26" ht="42" customHeight="1">
      <x:c r="A26" s="116" t="str">
        <x:v>Procedimento: compare o total e a distribuição da Média (t-1) com o modelo sazonal; identifique o que se perde ao uniformizar a base; proponha uma receita municipal em que a média seria apropriada.</x:v>
      </x:c>
      <x:c r="B26" s="116"/>
      <x:c r="C26" s="116"/>
      <x:c r="D26" s="116"/>
      <x:c r="E26" s="116"/>
      <x:c r="F26" s="116"/>
      <x:c r="G26" s="116"/>
      <x:c r="H26" s="116"/>
    </x:row>
    <x:row r="27" ht="30" customHeight="1">
      <x:c r="A27" s="117" t="str">
        <x:v>Entrega: quadro comparativo e conclusão de adequação/inadequação.</x:v>
      </x:c>
      <x:c r="B27" s="117"/>
      <x:c r="C27" s="117"/>
      <x:c r="D27" s="117"/>
      <x:c r="E27" s="117"/>
      <x:c r="F27" s="117"/>
      <x:c r="G27" s="117"/>
      <x:c r="H27" s="117"/>
    </x:row>
    <x:row r="28" ht="30" customHeight="1">
      <x:c r="A28" s="116" t="str">
        <x:v>Critério: reconhecer que a média pode servir a séries constantes ou a totais anuais estáveis, mas elimina sazonalidade.</x:v>
      </x:c>
      <x:c r="B28" s="116"/>
      <x:c r="C28" s="116"/>
      <x:c r="D28" s="116"/>
      <x:c r="E28" s="116"/>
      <x:c r="F28" s="116"/>
      <x:c r="G28" s="116"/>
      <x:c r="H28" s="116"/>
    </x:row>
    <x:row r="29" ht="32" customHeight="1">
      <x:c r="A29" s="100" t="str">
        <x:v>Resposta / evidência do participante: </x:v>
      </x:c>
      <x:c r="B29" s="100"/>
      <x:c r="C29" s="100"/>
      <x:c r="D29" s="100"/>
      <x:c r="E29" s="100"/>
      <x:c r="F29" s="100"/>
      <x:c r="G29" s="100"/>
      <x:c r="H29" s="100"/>
    </x:row>
    <x:row r="30" ht="32" customHeight="1">
      <x:c r="A30" s="100"/>
      <x:c r="B30" s="100"/>
      <x:c r="C30" s="100"/>
      <x:c r="D30" s="100"/>
      <x:c r="E30" s="100"/>
      <x:c r="F30" s="100"/>
      <x:c r="G30" s="100"/>
      <x:c r="H30" s="100"/>
    </x:row>
    <x:row r="31">
      <x:c r="A31" s="97"/>
      <x:c r="B31" s="97"/>
      <x:c r="C31" s="97"/>
      <x:c r="D31" s="97"/>
      <x:c r="E31" s="97"/>
      <x:c r="F31" s="97"/>
      <x:c r="G31" s="97"/>
      <x:c r="H31" s="97"/>
    </x:row>
    <x:row r="32" ht="26" customHeight="1">
      <x:c r="A32" s="85" t="str">
        <x:v>Atividade 4 — Reestimativa por Média Ajustada</x:v>
      </x:c>
      <x:c r="B32" s="85"/>
      <x:c r="C32" s="85"/>
      <x:c r="D32" s="85"/>
      <x:c r="E32" s="85"/>
      <x:c r="F32" s="85"/>
      <x:c r="G32" s="85"/>
      <x:c r="H32" s="85"/>
    </x:row>
    <x:row r="33" ht="30" customHeight="1">
      <x:c r="A33" s="116" t="str">
        <x:v>Competência: combinar meses realizados com a média do exercício corrente para projetar os meses faltantes.</x:v>
      </x:c>
      <x:c r="B33" s="116"/>
      <x:c r="C33" s="116"/>
      <x:c r="D33" s="116"/>
      <x:c r="E33" s="116"/>
      <x:c r="F33" s="116"/>
      <x:c r="G33" s="116"/>
      <x:c r="H33" s="116"/>
    </x:row>
    <x:row r="34" ht="30" customHeight="1">
      <x:c r="A34" s="117" t="str">
        <x:v>Insumos: três meses realizados em Dados!G8:G10 e Modelos!G8:G20.</x:v>
      </x:c>
      <x:c r="B34" s="117"/>
      <x:c r="C34" s="117"/>
      <x:c r="D34" s="117"/>
      <x:c r="E34" s="117"/>
      <x:c r="F34" s="117"/>
      <x:c r="G34" s="117"/>
      <x:c r="H34" s="117"/>
    </x:row>
    <x:row r="35" ht="42" customHeight="1">
      <x:c r="A35" s="116" t="str">
        <x:v>Procedimento: confirme a data de corte; calcule a média dos meses realizados; projete abril a dezembro; analise se o novo patamar é estrutural ou temporário.</x:v>
      </x:c>
      <x:c r="B35" s="116"/>
      <x:c r="C35" s="116"/>
      <x:c r="D35" s="116"/>
      <x:c r="E35" s="116"/>
      <x:c r="F35" s="116"/>
      <x:c r="G35" s="116"/>
      <x:c r="H35" s="116"/>
    </x:row>
    <x:row r="36" ht="30" customHeight="1">
      <x:c r="A36" s="117" t="str">
        <x:v>Entrega: reestimativa anual e nota sobre a suficiência dos meses observados.</x:v>
      </x:c>
      <x:c r="B36" s="117"/>
      <x:c r="C36" s="117"/>
      <x:c r="D36" s="117"/>
      <x:c r="E36" s="117"/>
      <x:c r="F36" s="117"/>
      <x:c r="G36" s="117"/>
      <x:c r="H36" s="117"/>
    </x:row>
    <x:row r="37" ht="30" customHeight="1">
      <x:c r="A37" s="116" t="str">
        <x:v>Critério: os realizados não podem ser substituídos por projeção; os meses futuros usam a média corrente corrigida.</x:v>
      </x:c>
      <x:c r="B37" s="116"/>
      <x:c r="C37" s="116"/>
      <x:c r="D37" s="116"/>
      <x:c r="E37" s="116"/>
      <x:c r="F37" s="116"/>
      <x:c r="G37" s="116"/>
      <x:c r="H37" s="116"/>
    </x:row>
    <x:row r="38" ht="32" customHeight="1">
      <x:c r="A38" s="100" t="str">
        <x:v>Resposta / evidência do participante: </x:v>
      </x:c>
      <x:c r="B38" s="100"/>
      <x:c r="C38" s="100"/>
      <x:c r="D38" s="100"/>
      <x:c r="E38" s="100"/>
      <x:c r="F38" s="100"/>
      <x:c r="G38" s="100"/>
      <x:c r="H38" s="100"/>
    </x:row>
    <x:row r="39" ht="32" customHeight="1">
      <x:c r="A39" s="100"/>
      <x:c r="B39" s="100"/>
      <x:c r="C39" s="100"/>
      <x:c r="D39" s="100"/>
      <x:c r="E39" s="100"/>
      <x:c r="F39" s="100"/>
      <x:c r="G39" s="100"/>
      <x:c r="H39" s="100"/>
    </x:row>
    <x:row r="40">
      <x:c r="A40" s="97"/>
      <x:c r="B40" s="97"/>
      <x:c r="C40" s="97"/>
      <x:c r="D40" s="97"/>
      <x:c r="E40" s="97"/>
      <x:c r="F40" s="97"/>
      <x:c r="G40" s="97"/>
      <x:c r="H40" s="97"/>
    </x:row>
    <x:row r="41" ht="26" customHeight="1">
      <x:c r="A41" s="85" t="str">
        <x:v>Atividade 5 — Média Móvel e escolha da janela</x:v>
      </x:c>
      <x:c r="B41" s="85"/>
      <x:c r="C41" s="85"/>
      <x:c r="D41" s="85"/>
      <x:c r="E41" s="85"/>
      <x:c r="F41" s="85"/>
      <x:c r="G41" s="85"/>
      <x:c r="H41" s="85"/>
    </x:row>
    <x:row r="42" ht="30" customHeight="1">
      <x:c r="A42" s="116" t="str">
        <x:v>Competência: medir o efeito de janelas curtas e longas na sensibilidade da projeção.</x:v>
      </x:c>
      <x:c r="B42" s="116"/>
      <x:c r="C42" s="116"/>
      <x:c r="D42" s="116"/>
      <x:c r="E42" s="116"/>
      <x:c r="F42" s="116"/>
      <x:c r="G42" s="116"/>
      <x:c r="H42" s="116"/>
    </x:row>
    <x:row r="43" ht="30" customHeight="1">
      <x:c r="A43" s="117" t="str">
        <x:v>Insumos: Premissas!B8, aba Media_Movel e coluna H da aba Modelos.</x:v>
      </x:c>
      <x:c r="B43" s="117"/>
      <x:c r="C43" s="117"/>
      <x:c r="D43" s="117"/>
      <x:c r="E43" s="117"/>
      <x:c r="F43" s="117"/>
      <x:c r="G43" s="117"/>
      <x:c r="H43" s="117"/>
    </x:row>
    <x:row r="44" ht="42" customHeight="1">
      <x:c r="A44" s="116" t="str">
        <x:v>Procedimento: rode janelas 3, 6, 12 e 24; registre o total e o comportamento da curva; explique qual janela reage mais rápido e qual suaviza melhor ruídos.</x:v>
      </x:c>
      <x:c r="B44" s="116"/>
      <x:c r="C44" s="116"/>
      <x:c r="D44" s="116"/>
      <x:c r="E44" s="116"/>
      <x:c r="F44" s="116"/>
      <x:c r="G44" s="116"/>
      <x:c r="H44" s="116"/>
    </x:row>
    <x:row r="45" ht="30" customHeight="1">
      <x:c r="A45" s="117" t="str">
        <x:v>Entrega: tabela de quatro cenários e janela recomendada, com justificativa.</x:v>
      </x:c>
      <x:c r="B45" s="117"/>
      <x:c r="C45" s="117"/>
      <x:c r="D45" s="117"/>
      <x:c r="E45" s="117"/>
      <x:c r="F45" s="117"/>
      <x:c r="G45" s="117"/>
      <x:c r="H45" s="117"/>
    </x:row>
    <x:row r="46" ht="30" customHeight="1">
      <x:c r="A46" s="116" t="str">
        <x:v>Critério: janela curta é mais sensível; janela longa é mais suave e reage mais lentamente a mudanças.</x:v>
      </x:c>
      <x:c r="B46" s="116"/>
      <x:c r="C46" s="116"/>
      <x:c r="D46" s="116"/>
      <x:c r="E46" s="116"/>
      <x:c r="F46" s="116"/>
      <x:c r="G46" s="116"/>
      <x:c r="H46" s="116"/>
    </x:row>
    <x:row r="47" ht="32" customHeight="1">
      <x:c r="A47" s="100" t="str">
        <x:v>Resposta / evidência do participante: </x:v>
      </x:c>
      <x:c r="B47" s="100"/>
      <x:c r="C47" s="100"/>
      <x:c r="D47" s="100"/>
      <x:c r="E47" s="100"/>
      <x:c r="F47" s="100"/>
      <x:c r="G47" s="100"/>
      <x:c r="H47" s="100"/>
    </x:row>
    <x:row r="48" ht="32" customHeight="1">
      <x:c r="A48" s="100"/>
      <x:c r="B48" s="100"/>
      <x:c r="C48" s="100"/>
      <x:c r="D48" s="100"/>
      <x:c r="E48" s="100"/>
      <x:c r="F48" s="100"/>
      <x:c r="G48" s="100"/>
      <x:c r="H48" s="100"/>
    </x:row>
    <x:row r="49">
      <x:c r="A49" s="97"/>
      <x:c r="B49" s="97"/>
      <x:c r="C49" s="97"/>
      <x:c r="D49" s="97"/>
      <x:c r="E49" s="97"/>
      <x:c r="F49" s="97"/>
      <x:c r="G49" s="97"/>
      <x:c r="H49" s="97"/>
    </x:row>
    <x:row r="50" ht="26" customHeight="1">
      <x:c r="A50" s="85" t="str">
        <x:v>Atividade 6 — MMV, validação e nota técnica</x:v>
      </x:c>
      <x:c r="B50" s="85"/>
      <x:c r="C50" s="85"/>
      <x:c r="D50" s="85"/>
      <x:c r="E50" s="85"/>
      <x:c r="F50" s="85"/>
      <x:c r="G50" s="85"/>
      <x:c r="H50" s="85"/>
    </x:row>
    <x:row r="51" ht="30" customHeight="1">
      <x:c r="A51" s="116" t="str">
        <x:v>Competência: tratar arrecadação negativa sem criar receita e emitir conclusão auditável.</x:v>
      </x:c>
      <x:c r="B51" s="116"/>
      <x:c r="C51" s="116"/>
      <x:c r="D51" s="116"/>
      <x:c r="E51" s="116"/>
      <x:c r="F51" s="116"/>
      <x:c r="G51" s="116"/>
      <x:c r="H51" s="116"/>
    </x:row>
    <x:row r="52" ht="30" customHeight="1">
      <x:c r="A52" s="117" t="str">
        <x:v>Insumos: abas MMV, Auditoria e Painel.</x:v>
      </x:c>
      <x:c r="B52" s="117"/>
      <x:c r="C52" s="117"/>
      <x:c r="D52" s="117"/>
      <x:c r="E52" s="117"/>
      <x:c r="F52" s="117"/>
      <x:c r="G52" s="117"/>
      <x:c r="H52" s="117"/>
    </x:row>
    <x:row r="53" ht="42" customHeight="1">
      <x:c r="A53" s="116" t="str">
        <x:v>Procedimento: confira participação, substituição do negativo por 1, normalização para soma 12 e reconciliação do total; depois aplique os fatores e execute o checklist documental.</x:v>
      </x:c>
      <x:c r="B53" s="116"/>
      <x:c r="C53" s="116"/>
      <x:c r="D53" s="116"/>
      <x:c r="E53" s="116"/>
      <x:c r="F53" s="116"/>
      <x:c r="G53" s="116"/>
      <x:c r="H53" s="116"/>
    </x:row>
    <x:row r="54" ht="30" customHeight="1">
      <x:c r="A54" s="117" t="str">
        <x:v>Entrega: memória MMV, evidências anexadas e nota técnica final com riscos e recomendação.</x:v>
      </x:c>
      <x:c r="B54" s="117"/>
      <x:c r="C54" s="117"/>
      <x:c r="D54" s="117"/>
      <x:c r="E54" s="117"/>
      <x:c r="F54" s="117"/>
      <x:c r="G54" s="117"/>
      <x:c r="H54" s="117"/>
    </x:row>
    <x:row r="55" ht="30" customHeight="1">
      <x:c r="A55" s="116" t="str">
        <x:v>Critério: diferença entre total ajustado e base deve ser zero (tolerância de centavos); a causa do negativo deve estar documentada.</x:v>
      </x:c>
      <x:c r="B55" s="116"/>
      <x:c r="C55" s="116"/>
      <x:c r="D55" s="116"/>
      <x:c r="E55" s="116"/>
      <x:c r="F55" s="116"/>
      <x:c r="G55" s="116"/>
      <x:c r="H55" s="116"/>
    </x:row>
    <x:row r="56" ht="32" customHeight="1">
      <x:c r="A56" s="100" t="str">
        <x:v>Resposta / evidência do participante: </x:v>
      </x:c>
      <x:c r="B56" s="100"/>
      <x:c r="C56" s="100"/>
      <x:c r="D56" s="100"/>
      <x:c r="E56" s="100"/>
      <x:c r="F56" s="100"/>
      <x:c r="G56" s="100"/>
      <x:c r="H56" s="100"/>
    </x:row>
    <x:row r="57" ht="32" customHeight="1">
      <x:c r="A57" s="100"/>
      <x:c r="B57" s="100"/>
      <x:c r="C57" s="100"/>
      <x:c r="D57" s="100"/>
      <x:c r="E57" s="100"/>
      <x:c r="F57" s="100"/>
      <x:c r="G57" s="100"/>
      <x:c r="H57" s="100"/>
    </x:row>
  </x:sheetData>
  <x:mergeCells>
    <x:mergeCell ref="A1:H2"/>
    <x:mergeCell ref="A3:H3"/>
    <x:mergeCell ref="A5:H5"/>
    <x:mergeCell ref="A6:H6"/>
    <x:mergeCell ref="A7:H7"/>
    <x:mergeCell ref="A8:H8"/>
    <x:mergeCell ref="A9:H9"/>
    <x:mergeCell ref="A10:H10"/>
    <x:mergeCell ref="A11:H12"/>
    <x:mergeCell ref="A14:H14"/>
    <x:mergeCell ref="A15:H15"/>
    <x:mergeCell ref="A16:H16"/>
    <x:mergeCell ref="A17:H17"/>
    <x:mergeCell ref="A18:H18"/>
    <x:mergeCell ref="A19:H19"/>
    <x:mergeCell ref="A20:H21"/>
    <x:mergeCell ref="A23:H23"/>
    <x:mergeCell ref="A24:H24"/>
    <x:mergeCell ref="A25:H25"/>
    <x:mergeCell ref="A26:H26"/>
    <x:mergeCell ref="A27:H27"/>
    <x:mergeCell ref="A28:H28"/>
    <x:mergeCell ref="A29:H30"/>
    <x:mergeCell ref="A32:H32"/>
    <x:mergeCell ref="A33:H33"/>
    <x:mergeCell ref="A34:H34"/>
    <x:mergeCell ref="A35:H35"/>
    <x:mergeCell ref="A36:H36"/>
    <x:mergeCell ref="A37:H37"/>
    <x:mergeCell ref="A38:H39"/>
    <x:mergeCell ref="A41:H41"/>
    <x:mergeCell ref="A42:H42"/>
    <x:mergeCell ref="A43:H43"/>
    <x:mergeCell ref="A44:H44"/>
    <x:mergeCell ref="A45:H45"/>
    <x:mergeCell ref="A46:H46"/>
    <x:mergeCell ref="A47:H48"/>
    <x:mergeCell ref="A50:H50"/>
    <x:mergeCell ref="A51:H51"/>
    <x:mergeCell ref="A52:H52"/>
    <x:mergeCell ref="A53:H53"/>
    <x:mergeCell ref="A54:H54"/>
    <x:mergeCell ref="A55:H55"/>
    <x:mergeCell ref="A56:H57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22" hidden="0" customWidth="1"/>
    <x:col min="4" max="4" width="50" hidden="0" customWidth="1"/>
    <x:col min="5" max="5" width="38" hidden="0" customWidth="1"/>
    <x:col min="6" max="6" width="28" hidden="0" customWidth="1"/>
  </x:cols>
  <x:sheetData>
    <x:row r="1" ht="36" customHeight="1">
      <x:c r="A1" s="5" t="str">
        <x:v>Gabarito orientador</x:v>
      </x:c>
      <x:c r="B1" s="5" t="str">
        <x:v>Gabarito orientador</x:v>
      </x:c>
      <x:c r="C1" s="5" t="str">
        <x:v>Gabarito orientador</x:v>
      </x:c>
      <x:c r="D1" s="5" t="str">
        <x:v>Gabarito orientador</x:v>
      </x:c>
      <x:c r="E1" s="5" t="str">
        <x:v>Gabarito orientador</x:v>
      </x:c>
      <x:c r="F1" s="5" t="str">
        <x:v>Gabarito orientador</x:v>
      </x:c>
    </x:row>
    <x:row r="2" ht="36" customHeight="1">
      <x:c r="A2" s="5" t="str">
        <x:v>Gabarito orientador</x:v>
      </x:c>
      <x:c r="B2" s="5" t="str">
        <x:v>Gabarito orientador</x:v>
      </x:c>
      <x:c r="C2" s="5" t="str">
        <x:v>Gabarito orientador</x:v>
      </x:c>
      <x:c r="D2" s="5" t="str">
        <x:v>Gabarito orientador</x:v>
      </x:c>
      <x:c r="E2" s="5" t="str">
        <x:v>Gabarito orientador</x:v>
      </x:c>
      <x:c r="F2" s="5" t="str">
        <x:v>Gabarito orientador</x:v>
      </x:c>
    </x:row>
    <x:row r="3" ht="30" customHeight="1">
      <x:c r="A3" s="8" t="str">
        <x:v>O gabarito explicita a linha de raciocínio. Resultados numéricos acompanham as entradas atuais da planilha.</x:v>
      </x:c>
      <x:c r="B3" s="8" t="str">
        <x:v>O gabarito explicita a linha de raciocínio. Resultados numéricos acompanham as entradas atuais da planilha.</x:v>
      </x:c>
      <x:c r="C3" s="8" t="str">
        <x:v>O gabarito explicita a linha de raciocínio. Resultados numéricos acompanham as entradas atuais da planilha.</x:v>
      </x:c>
      <x:c r="D3" s="8" t="str">
        <x:v>O gabarito explicita a linha de raciocínio. Resultados numéricos acompanham as entradas atuais da planilha.</x:v>
      </x:c>
      <x:c r="E3" s="8" t="str">
        <x:v>O gabarito explicita a linha de raciocínio. Resultados numéricos acompanham as entradas atuais da planilha.</x:v>
      </x:c>
      <x:c r="F3" s="8" t="str">
        <x:v>O gabarito explicita a linha de raciocínio. Resultados numéricos acompanham as entradas atuais da planilha.</x:v>
      </x:c>
    </x:row>
    <x:row r="4">
      <x:c r="A4" s="97"/>
      <x:c r="B4" s="97"/>
      <x:c r="C4" s="97"/>
      <x:c r="D4" s="97"/>
      <x:c r="E4" s="97"/>
      <x:c r="F4" s="97"/>
    </x:row>
    <x:row r="5">
      <x:c r="A5" s="26" t="str">
        <x:v>Atividade</x:v>
      </x:c>
      <x:c r="B5" s="26" t="str">
        <x:v>Resultado-chave</x:v>
      </x:c>
      <x:c r="C5" s="26" t="str">
        <x:v>Valor dinâmico</x:v>
      </x:c>
      <x:c r="D5" s="26" t="str">
        <x:v>Elementos esperados na justificativa</x:v>
      </x:c>
      <x:c r="E5" s="26" t="str">
        <x:v>Erro comum</x:v>
      </x:c>
      <x:c r="F5" s="26" t="str">
        <x:v>Verificação</x:v>
      </x:c>
    </x:row>
    <x:row r="6" ht="56" customHeight="1">
      <x:c r="A6" s="101" t="str">
        <x:v>1</x:v>
      </x:c>
      <x:c r="B6" s="101" t="str">
        <x:v>Modelo preliminar</x:v>
      </x:c>
      <x:c r="C6" s="101" t="str">
        <x:v>MMV + incremental</x:v>
      </x:c>
      <x:c r="D6" s="101" t="str">
        <x:v>Sazonalidade, pico recorrente e valor negativo exigem investigação; MMV pode tratar a base antes do incremento.</x:v>
      </x:c>
      <x:c r="E6" s="101" t="str">
        <x:v>Escolher pelo maior total.</x:v>
      </x:c>
      <x:c r="F6" s="101" t="str">
        <x:v>Auditoria!C10 e MMV!B28</x:v>
      </x:c>
    </x:row>
    <x:row r="7" ht="56" customHeight="1">
      <x:c r="A7" s="101" t="str">
        <x:v>2</x:v>
      </x:c>
      <x:c r="B7" s="101" t="str">
        <x:v>Total sazonal</x:v>
      </x:c>
      <x:c r="C7" s="118" t="n">
        <x:f>Modelos!E20</x:f>
        <x:v>5824057.2</x:v>
      </x:c>
      <x:c r="D7" s="101" t="str">
        <x:v>Cada mês usa o mesmo mês da base e os três índices aplicáveis; efeito legal somente na vigência indicada.</x:v>
      </x:c>
      <x:c r="E7" s="101" t="str">
        <x:v>Somar percentuais em vez de multiplicar índices.</x:v>
      </x:c>
      <x:c r="F7" s="101" t="str">
        <x:v>Modelos!E20</x:v>
      </x:c>
    </x:row>
    <x:row r="8" ht="56" customHeight="1">
      <x:c r="A8" s="101" t="str">
        <x:v>3</x:v>
      </x:c>
      <x:c r="B8" s="101" t="str">
        <x:v>Total pela média</x:v>
      </x:c>
      <x:c r="C8" s="118" t="n">
        <x:f>Modelos!F20</x:f>
        <x:v>5893274.400000001</x:v>
      </x:c>
      <x:c r="D8" s="101" t="str">
        <x:v>Distribuição uniforme; adequada para série constante ou total anual estável; inadequada para preservar sazonalidade.</x:v>
      </x:c>
      <x:c r="E8" s="101" t="str">
        <x:v>Usar média em série sazonal sem justificativa.</x:v>
      </x:c>
      <x:c r="F8" s="101" t="str">
        <x:v>Modelos!F20</x:v>
      </x:c>
    </x:row>
    <x:row r="9" ht="56" customHeight="1">
      <x:c r="A9" s="101" t="str">
        <x:v>4</x:v>
      </x:c>
      <x:c r="B9" s="101" t="str">
        <x:v>Reestimativa média ajustada</x:v>
      </x:c>
      <x:c r="C9" s="118" t="n">
        <x:f>Modelos!G20</x:f>
        <x:v>11107163.2</x:v>
      </x:c>
      <x:c r="D9" s="101" t="str">
        <x:v>Meses realizados preservados; meses futuros partem da média corrente; avaliar se a mudança de patamar é persistente.</x:v>
      </x:c>
      <x:c r="E9" s="101" t="str">
        <x:v>Projetar novamente meses já realizados.</x:v>
      </x:c>
      <x:c r="F9" s="101" t="str">
        <x:v>Modelos!G20</x:v>
      </x:c>
    </x:row>
    <x:row r="10" ht="56" customHeight="1">
      <x:c r="A10" s="101" t="str">
        <x:v>5</x:v>
      </x:c>
      <x:c r="B10" s="101" t="str">
        <x:v>Total média móvel</x:v>
      </x:c>
      <x:c r="C10" s="118" t="n">
        <x:f>Modelos!H20</x:f>
        <x:v>7473805.249999999</x:v>
      </x:c>
      <x:c r="D10" s="101" t="str">
        <x:v>Comparar 3/6/12/24; janela curta reage mais, longa suaviza; justificar a janela pelo comportamento e horizonte.</x:v>
      </x:c>
      <x:c r="E10" s="101" t="str">
        <x:v>Selecionar janela sem teste de sensibilidade.</x:v>
      </x:c>
      <x:c r="F10" s="101" t="str">
        <x:v>Modelos!H20</x:v>
      </x:c>
    </x:row>
    <x:row r="11" ht="56" customHeight="1">
      <x:c r="A11" s="101" t="str">
        <x:v>6</x:v>
      </x:c>
      <x:c r="B11" s="101" t="str">
        <x:v>Total MMV projetado</x:v>
      </x:c>
      <x:c r="C11" s="118" t="n">
        <x:f>Modelos!I20</x:f>
        <x:v>5844375.369999999</x:v>
      </x:c>
      <x:c r="D11" s="101" t="str">
        <x:v>Negativo vira participação 1; soma normalizada para 12; total da base preservado; causas e documentos anexados.</x:v>
      </x:c>
      <x:c r="E11" s="101" t="str">
        <x:v>Tratar o negativo sem apurar sua origem.</x:v>
      </x:c>
      <x:c r="F11" s="101" t="str">
        <x:v>MMV!B27 deve ser zero</x:v>
      </x:c>
    </x:row>
    <x:row r="12">
      <x:c r="A12" s="97"/>
      <x:c r="B12" s="97"/>
      <x:c r="C12" s="97"/>
      <x:c r="D12" s="97"/>
      <x:c r="E12" s="97"/>
      <x:c r="F12" s="97"/>
    </x:row>
    <x:row r="13">
      <x:c r="A13" s="97"/>
      <x:c r="B13" s="97"/>
      <x:c r="C13" s="97"/>
      <x:c r="D13" s="97"/>
      <x:c r="E13" s="97"/>
      <x:c r="F13" s="97"/>
    </x:row>
    <x:row r="14" ht="24" customHeight="1">
      <x:c r="A14" s="14" t="str">
        <x:v>Rubrica sugerida — 10 pontos</x:v>
      </x:c>
      <x:c r="B14" s="15" t="str">
        <x:v>Rubrica sugerida — 10 pontos</x:v>
      </x:c>
      <x:c r="C14" s="15" t="str">
        <x:v>Rubrica sugerida — 10 pontos</x:v>
      </x:c>
      <x:c r="D14" s="15" t="str">
        <x:v>Rubrica sugerida — 10 pontos</x:v>
      </x:c>
      <x:c r="E14" s="15" t="str">
        <x:v>Rubrica sugerida — 10 pontos</x:v>
      </x:c>
      <x:c r="F14" s="16" t="str">
        <x:v>Rubrica sugerida — 10 pontos</x:v>
      </x:c>
    </x:row>
    <x:row r="15">
      <x:c r="A15" s="32" t="str">
        <x:v>2,0</x:v>
      </x:c>
      <x:c r="B15" s="98" t="str">
        <x:v>Integridade e reconciliação da série histórica</x:v>
      </x:c>
      <x:c r="C15" s="97"/>
      <x:c r="D15" s="109" t="str">
        <x:v>Aceite sugerido
≥ 8,0: apto
6,0 a 7,9: revisar premissas/documentos
&lt; 6,0: refazer a atividade
A nota não substitui revisão técnica quando a projeção for usada em peça orçamentária real.</x:v>
      </x:c>
      <x:c r="E15" s="109"/>
      <x:c r="F15" s="109"/>
    </x:row>
    <x:row r="16">
      <x:c r="A16" s="32" t="str">
        <x:v>2,0</x:v>
      </x:c>
      <x:c r="B16" s="98" t="str">
        <x:v>Coerência entre fato gerador e modelo</x:v>
      </x:c>
      <x:c r="C16" s="97"/>
      <x:c r="D16" s="109"/>
      <x:c r="E16" s="109"/>
      <x:c r="F16" s="109"/>
    </x:row>
    <x:row r="17">
      <x:c r="A17" s="32" t="str">
        <x:v>2,0</x:v>
      </x:c>
      <x:c r="B17" s="98" t="str">
        <x:v>Fundamentação dos efeitos preço, quantidade e legislação</x:v>
      </x:c>
      <x:c r="C17" s="97"/>
      <x:c r="D17" s="109"/>
      <x:c r="E17" s="109"/>
      <x:c r="F17" s="109"/>
    </x:row>
    <x:row r="18">
      <x:c r="A18" s="32" t="str">
        <x:v>1,5</x:v>
      </x:c>
      <x:c r="B18" s="98" t="str">
        <x:v>Correção matemática e preservação dos realizados</x:v>
      </x:c>
      <x:c r="C18" s="97"/>
      <x:c r="D18" s="109"/>
      <x:c r="E18" s="109"/>
      <x:c r="F18" s="109"/>
    </x:row>
    <x:row r="19">
      <x:c r="A19" s="32" t="str">
        <x:v>1,5</x:v>
      </x:c>
      <x:c r="B19" s="98" t="str">
        <x:v>Trilha documental, riscos e controles</x:v>
      </x:c>
      <x:c r="C19" s="97"/>
      <x:c r="D19" s="109"/>
      <x:c r="E19" s="109"/>
      <x:c r="F19" s="109"/>
    </x:row>
    <x:row r="20">
      <x:c r="A20" s="32" t="str">
        <x:v>1,0</x:v>
      </x:c>
      <x:c r="B20" s="98" t="str">
        <x:v>Clareza da conclusão e recomendação</x:v>
      </x:c>
      <x:c r="C20" s="97"/>
      <x:c r="D20" s="109"/>
      <x:c r="E20" s="109"/>
      <x:c r="F20" s="109"/>
    </x:row>
  </x:sheetData>
  <x:mergeCells>
    <x:mergeCell ref="A1:F2"/>
    <x:mergeCell ref="A3:F3"/>
    <x:mergeCell ref="A14:F14"/>
    <x:mergeCell ref="D15:F20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4" hidden="0" customWidth="1"/>
    <x:col min="3" max="3" width="39" hidden="0" customWidth="1"/>
    <x:col min="4" max="4" width="39" hidden="0" customWidth="1"/>
    <x:col min="5" max="5" width="18" hidden="0" customWidth="1"/>
    <x:col min="6" max="6" width="31" hidden="0" customWidth="1"/>
    <x:col min="7" max="7" width="31" hidden="0" customWidth="1"/>
    <x:col min="8" max="8" width="3" hidden="0" customWidth="1"/>
    <x:col min="9" max="9" width="24" hidden="0" customWidth="1"/>
    <x:col min="10" max="10" width="26" hidden="0" customWidth="1"/>
  </x:cols>
  <x:sheetData>
    <x:row r="1" ht="36" customHeight="1">
      <x:c r="A1" s="5" t="str">
        <x:v>Verificação da metodologia — art. 12 da LRF</x:v>
      </x:c>
      <x:c r="B1" s="5" t="str">
        <x:v>Verificação da metodologia — art. 12 da LRF</x:v>
      </x:c>
      <x:c r="C1" s="5" t="str">
        <x:v>Verificação da metodologia — art. 12 da LRF</x:v>
      </x:c>
      <x:c r="D1" s="5" t="str">
        <x:v>Verificação da metodologia — art. 12 da LRF</x:v>
      </x:c>
      <x:c r="E1" s="5" t="str">
        <x:v>Verificação da metodologia — art. 12 da LRF</x:v>
      </x:c>
      <x:c r="F1" s="5" t="str">
        <x:v>Verificação da metodologia — art. 12 da LRF</x:v>
      </x:c>
      <x:c r="G1" s="5" t="str">
        <x:v>Verificação da metodologia — art. 12 da LRF</x:v>
      </x:c>
      <x:c r="H1" s="5" t="str">
        <x:v>Verificação da metodologia — art. 12 da LRF</x:v>
      </x:c>
      <x:c r="I1" s="5" t="str">
        <x:v>Verificação da metodologia — art. 12 da LRF</x:v>
      </x:c>
      <x:c r="J1" s="5" t="str">
        <x:v>Verificação da metodologia — art. 12 da LRF</x:v>
      </x:c>
    </x:row>
    <x:row r="2" ht="36" customHeight="1">
      <x:c r="A2" s="5" t="str">
        <x:v>Verificação da metodologia — art. 12 da LRF</x:v>
      </x:c>
      <x:c r="B2" s="5" t="str">
        <x:v>Verificação da metodologia — art. 12 da LRF</x:v>
      </x:c>
      <x:c r="C2" s="5" t="str">
        <x:v>Verificação da metodologia — art. 12 da LRF</x:v>
      </x:c>
      <x:c r="D2" s="5" t="str">
        <x:v>Verificação da metodologia — art. 12 da LRF</x:v>
      </x:c>
      <x:c r="E2" s="5" t="str">
        <x:v>Verificação da metodologia — art. 12 da LRF</x:v>
      </x:c>
      <x:c r="F2" s="5" t="str">
        <x:v>Verificação da metodologia — art. 12 da LRF</x:v>
      </x:c>
      <x:c r="G2" s="5" t="str">
        <x:v>Verificação da metodologia — art. 12 da LRF</x:v>
      </x:c>
      <x:c r="H2" s="5" t="str">
        <x:v>Verificação da metodologia — art. 12 da LRF</x:v>
      </x:c>
      <x:c r="I2" s="5" t="str">
        <x:v>Verificação da metodologia — art. 12 da LRF</x:v>
      </x:c>
      <x:c r="J2" s="5" t="str">
        <x:v>Verificação da metodologia — art. 12 da LRF</x:v>
      </x:c>
    </x:row>
    <x:row r="3" ht="30" customHeight="1">
      <x:c r="A3" s="8" t="str">
        <x:v>Conclua requisito por requisito. Documento ausente gera limitação ou diligência, não presunção automática de irregularidade.</x:v>
      </x:c>
      <x:c r="B3" s="8" t="str">
        <x:v>Conclua requisito por requisito. Documento ausente gera limitação ou diligência, não presunção automática de irregularidade.</x:v>
      </x:c>
      <x:c r="C3" s="8" t="str">
        <x:v>Conclua requisito por requisito. Documento ausente gera limitação ou diligência, não presunção automática de irregularidade.</x:v>
      </x:c>
      <x:c r="D3" s="8" t="str">
        <x:v>Conclua requisito por requisito. Documento ausente gera limitação ou diligência, não presunção automática de irregularidade.</x:v>
      </x:c>
      <x:c r="E3" s="8" t="str">
        <x:v>Conclua requisito por requisito. Documento ausente gera limitação ou diligência, não presunção automática de irregularidade.</x:v>
      </x:c>
      <x:c r="F3" s="8" t="str">
        <x:v>Conclua requisito por requisito. Documento ausente gera limitação ou diligência, não presunção automática de irregularidade.</x:v>
      </x:c>
      <x:c r="G3" s="8" t="str">
        <x:v>Conclua requisito por requisito. Documento ausente gera limitação ou diligência, não presunção automática de irregularidade.</x:v>
      </x:c>
      <x:c r="H3" s="8" t="str">
        <x:v>Conclua requisito por requisito. Documento ausente gera limitação ou diligência, não presunção automática de irregularidade.</x:v>
      </x:c>
      <x:c r="I3" s="8" t="str">
        <x:v>Conclua requisito por requisito. Documento ausente gera limitação ou diligência, não presunção automática de irregularidade.</x:v>
      </x:c>
      <x:c r="J3" s="8" t="str">
        <x:v>Conclua requisito por requisito. Documento ausente gera limitação ou diligência, não presunção automática de irregularidade.</x:v>
      </x:c>
    </x:row>
    <x:row r="4">
      <x:c r="A4" s="97"/>
      <x:c r="B4" s="97"/>
      <x:c r="C4" s="97"/>
      <x:c r="D4" s="97"/>
      <x:c r="E4" s="97"/>
      <x:c r="F4" s="97"/>
      <x:c r="G4" s="97"/>
      <x:c r="H4" s="97"/>
      <x:c r="I4" s="97"/>
      <x:c r="J4" s="97"/>
    </x:row>
    <x:row r="5" ht="24" customHeight="1">
      <x:c r="A5" s="26" t="str">
        <x:v>ID</x:v>
      </x:c>
      <x:c r="B5" s="26" t="str">
        <x:v>Requisito</x:v>
      </x:c>
      <x:c r="C5" s="26" t="str">
        <x:v>Critério / teste</x:v>
      </x:c>
      <x:c r="D5" s="26" t="str">
        <x:v>Evidência esperada</x:v>
      </x:c>
      <x:c r="E5" s="26" t="str">
        <x:v>Status</x:v>
      </x:c>
      <x:c r="F5" s="26" t="str">
        <x:v>Achado / diferença</x:v>
      </x:c>
      <x:c r="G5" s="26" t="str">
        <x:v>Diligência / referência</x:v>
      </x:c>
      <x:c r="H5" s="97"/>
      <x:c r="I5" s="14" t="str">
        <x:v>Resumo</x:v>
      </x:c>
      <x:c r="J5" s="16" t="str">
        <x:v>Resumo</x:v>
      </x:c>
    </x:row>
    <x:row r="6" ht="46" customHeight="1">
      <x:c r="A6" s="101" t="str">
        <x:v>C01</x:v>
      </x:c>
      <x:c r="B6" s="101" t="str">
        <x:v>Escopo e identificação</x:v>
      </x:c>
      <x:c r="C6" s="101" t="str">
        <x:v>Receita, natureza, fonte, unidade, fato gerador, periodicidade, destino, ano e corte definidos.</x:v>
      </x:c>
      <x:c r="D6" s="101" t="str">
        <x:v>Cadastro, norma e memória</x:v>
      </x:c>
      <x:c r="E6" s="104" t="str">
        <x:v>Pendente</x:v>
      </x:c>
      <x:c r="F6" s="104" t="str">
        <x:v>Preencher</x:v>
      </x:c>
      <x:c r="G6" s="104" t="str">
        <x:v>Preencher</x:v>
      </x:c>
      <x:c r="H6" s="97"/>
      <x:c r="I6" s="39" t="str">
        <x:v>Conforme</x:v>
      </x:c>
      <x:c r="J6" s="98" t="n">
        <x:f>COUNTIF(E6:E21,"Conforme")</x:f>
        <x:v>0</x:v>
      </x:c>
    </x:row>
    <x:row r="7" ht="46" customHeight="1">
      <x:c r="A7" s="101" t="str">
        <x:v>C02</x:v>
      </x:c>
      <x:c r="B7" s="101" t="str">
        <x:v>Natureza da receita</x:v>
      </x:c>
      <x:c r="C7" s="101" t="str">
        <x:v>Código, descrição, fato gerador e desdobramento conferidos no Ementário do exercício.</x:v>
      </x:c>
      <x:c r="D7" s="101" t="str">
        <x:v>Tabela STN aplicável e extração</x:v>
      </x:c>
      <x:c r="E7" s="104" t="str">
        <x:v>Pendente</x:v>
      </x:c>
      <x:c r="F7" s="104" t="str">
        <x:v>Preencher</x:v>
      </x:c>
      <x:c r="G7" s="104" t="str">
        <x:v>Preencher</x:v>
      </x:c>
      <x:c r="H7" s="97"/>
      <x:c r="I7" s="39" t="str">
        <x:v>Parcial</x:v>
      </x:c>
      <x:c r="J7" s="98" t="n">
        <x:f>COUNTIF(E6:E21,"Parcial")</x:f>
        <x:v>0</x:v>
      </x:c>
    </x:row>
    <x:row r="8" ht="46" customHeight="1">
      <x:c r="A8" s="101" t="str">
        <x:v>C03</x:v>
      </x:c>
      <x:c r="B8" s="101" t="str">
        <x:v>Fonte/destinação</x:v>
      </x:c>
      <x:c r="C8" s="101" t="str">
        <x:v>Fonte de 3 dígitos, IE e CO conferidos na Portaria STN nº 710/2021 consolidada.</x:v>
      </x:c>
      <x:c r="D8" s="101" t="str">
        <x:v>Tabela STN, norma da vinculação e MSC</x:v>
      </x:c>
      <x:c r="E8" s="104" t="str">
        <x:v>Pendente</x:v>
      </x:c>
      <x:c r="F8" s="104" t="str">
        <x:v>Preencher</x:v>
      </x:c>
      <x:c r="G8" s="104" t="str">
        <x:v>Preencher</x:v>
      </x:c>
      <x:c r="H8" s="97"/>
      <x:c r="I8" s="39" t="str">
        <x:v>Não conforme</x:v>
      </x:c>
      <x:c r="J8" s="98" t="n">
        <x:f>COUNTIF(E6:E21,"Não conforme")</x:f>
        <x:v>0</x:v>
      </x:c>
    </x:row>
    <x:row r="9" ht="46" customHeight="1">
      <x:c r="A9" s="101" t="str">
        <x:v>C04</x:v>
      </x:c>
      <x:c r="B9" s="101" t="str">
        <x:v>Três anos de evolução</x:v>
      </x:c>
      <x:c r="C9" s="101" t="str">
        <x:v>36 competências reconciliadas; lacunas, retificações, deduções e reclassificações documentadas.</x:v>
      </x:c>
      <x:c r="D9" s="101" t="str">
        <x:v>Balancetes, RREO, DCA/SICONFI</x:v>
      </x:c>
      <x:c r="E9" s="104" t="str">
        <x:v>Pendente</x:v>
      </x:c>
      <x:c r="F9" s="104" t="str">
        <x:v>Preencher</x:v>
      </x:c>
      <x:c r="G9" s="104" t="str">
        <x:v>Preencher</x:v>
      </x:c>
      <x:c r="H9" s="97"/>
      <x:c r="I9" s="39" t="str">
        <x:v>Pendente</x:v>
      </x:c>
      <x:c r="J9" s="98" t="n">
        <x:f>COUNTIF(E6:E21,"Pendente")</x:f>
        <x:v>16</x:v>
      </x:c>
    </x:row>
    <x:row r="10" ht="46" customHeight="1">
      <x:c r="A10" s="101" t="str">
        <x:v>C05</x:v>
      </x:c>
      <x:c r="B10" s="101" t="str">
        <x:v>Dois anos projetados</x:v>
      </x:c>
      <x:c r="C10" s="101" t="str">
        <x:v>t+1 e t+2 apresentados com método e premissas reproduzíveis.</x:v>
      </x:c>
      <x:c r="D10" s="101" t="str">
        <x:v>LDO/PLOA/LOA e memória</x:v>
      </x:c>
      <x:c r="E10" s="104" t="str">
        <x:v>Pendente</x:v>
      </x:c>
      <x:c r="F10" s="104" t="str">
        <x:v>Preencher</x:v>
      </x:c>
      <x:c r="G10" s="104" t="str">
        <x:v>Preencher</x:v>
      </x:c>
      <x:c r="H10" s="97"/>
      <x:c r="I10" s="39" t="str">
        <x:v>Conclusão sugerida</x:v>
      </x:c>
      <x:c r="J10" s="94" t="str">
        <x:f>IF(J9&gt;0,"Inconclusivo por pendências",IF(J8&gt;0,"Não conforme",IF(J7&gt;0,"Conforme com ressalvas","Conforme")))</x:f>
        <x:v>Inconclusivo por pendências</x:v>
      </x:c>
    </x:row>
    <x:row r="11" ht="46" customHeight="1">
      <x:c r="A11" s="101" t="str">
        <x:v>C06</x:v>
      </x:c>
      <x:c r="B11" s="101" t="str">
        <x:v>Metodologia da LDO</x:v>
      </x:c>
      <x:c r="C11" s="101" t="str">
        <x:v>Cada parâmetro aprovado corresponde a campo, fórmula e fonte da memória.</x:v>
      </x:c>
      <x:c r="D11" s="101" t="str">
        <x:v>LDO e matriz de correspondência</x:v>
      </x:c>
      <x:c r="E11" s="104" t="str">
        <x:v>Pendente</x:v>
      </x:c>
      <x:c r="F11" s="104" t="str">
        <x:v>Preencher</x:v>
      </x:c>
      <x:c r="G11" s="104" t="str">
        <x:v>Preencher</x:v>
      </x:c>
      <x:c r="H11" s="97"/>
      <x:c r="I11" s="97"/>
      <x:c r="J11" s="97"/>
    </x:row>
    <x:row r="12" ht="46" customHeight="1">
      <x:c r="A12" s="101" t="str">
        <x:v>C07</x:v>
      </x:c>
      <x:c r="B12" s="101" t="str">
        <x:v>Efeito preço</x:v>
      </x:c>
      <x:c r="C12" s="101" t="str">
        <x:v>Índice relacionado ao fato gerador, sem dupla contagem, com fonte e período.</x:v>
      </x:c>
      <x:c r="D12" s="101" t="str">
        <x:v>Série oficial e memória mensal</x:v>
      </x:c>
      <x:c r="E12" s="104" t="str">
        <x:v>Pendente</x:v>
      </x:c>
      <x:c r="F12" s="104" t="str">
        <x:v>Preencher</x:v>
      </x:c>
      <x:c r="G12" s="104" t="str">
        <x:v>Preencher</x:v>
      </x:c>
      <x:c r="H12" s="97"/>
      <x:c r="I12" s="97"/>
      <x:c r="J12" s="97"/>
    </x:row>
    <x:row r="13" ht="46" customHeight="1">
      <x:c r="A13" s="101" t="str">
        <x:v>C08</x:v>
      </x:c>
      <x:c r="B13" s="101" t="str">
        <x:v>Efeito quantidade</x:v>
      </x:c>
      <x:c r="C13" s="101" t="str">
        <x:v>Variação física/econômica demonstrada e coerente com a unidade arrecadadora.</x:v>
      </x:c>
      <x:c r="D13" s="101" t="str">
        <x:v>Nota técnica e série física</x:v>
      </x:c>
      <x:c r="E13" s="104" t="str">
        <x:v>Pendente</x:v>
      </x:c>
      <x:c r="F13" s="104" t="str">
        <x:v>Preencher</x:v>
      </x:c>
      <x:c r="G13" s="104" t="str">
        <x:v>Preencher</x:v>
      </x:c>
      <x:c r="H13" s="97"/>
      <x:c r="I13" s="105" t="str">
        <x:v>Regra de conclusão
Conforme: requisitos comprovados.
Conforme com ressalvas: falhas sem invalidar integralmente a metodologia.
Não conforme: requisito material não atendido com evidência suficiente.
Inconclusivo: evidência insuficiente.
A classificação automática é apenas sugestiva e exige revisão humana.</x:v>
      </x:c>
      <x:c r="J13" s="105"/>
    </x:row>
    <x:row r="14" ht="46" customHeight="1">
      <x:c r="A14" s="101" t="str">
        <x:v>C09</x:v>
      </x:c>
      <x:c r="B14" s="101" t="str">
        <x:v>Efeito legislação</x:v>
      </x:c>
      <x:c r="C14" s="101" t="str">
        <x:v>Mudança de alíquota/base e vigência confirmadas, inclusive efeito parcial.</x:v>
      </x:c>
      <x:c r="D14" s="101" t="str">
        <x:v>Norma, vigência e recálculo</x:v>
      </x:c>
      <x:c r="E14" s="104" t="str">
        <x:v>Pendente</x:v>
      </x:c>
      <x:c r="F14" s="104" t="str">
        <x:v>Preencher</x:v>
      </x:c>
      <x:c r="G14" s="104" t="str">
        <x:v>Preencher</x:v>
      </x:c>
      <x:c r="H14" s="97"/>
      <x:c r="I14" s="105"/>
      <x:c r="J14" s="105"/>
    </x:row>
    <x:row r="15" ht="46" customHeight="1">
      <x:c r="A15" s="101" t="str">
        <x:v>C10</x:v>
      </x:c>
      <x:c r="B15" s="101" t="str">
        <x:v>Modelo do MDF</x:v>
      </x:c>
      <x:c r="C15" s="101" t="str">
        <x:v>Modelo escolhido pelo comportamento e natureza; alternativas e limitações registradas.</x:v>
      </x:c>
      <x:c r="D15" s="101" t="str">
        <x:v>Comparação dos modelos e justificativa</x:v>
      </x:c>
      <x:c r="E15" s="104" t="str">
        <x:v>Pendente</x:v>
      </x:c>
      <x:c r="F15" s="104" t="str">
        <x:v>Preencher</x:v>
      </x:c>
      <x:c r="G15" s="104" t="str">
        <x:v>Preencher</x:v>
      </x:c>
      <x:c r="H15" s="97"/>
      <x:c r="I15" s="105"/>
      <x:c r="J15" s="105"/>
    </x:row>
    <x:row r="16" ht="46" customHeight="1">
      <x:c r="A16" s="101" t="str">
        <x:v>C11</x:v>
      </x:c>
      <x:c r="B16" s="101" t="str">
        <x:v>Base e atipicidades</x:v>
      </x:c>
      <x:c r="C16" s="101" t="str">
        <x:v>Valor original, ajuste, causa, evidência e aprovação preservados.</x:v>
      </x:c>
      <x:c r="D16" s="101" t="str">
        <x:v>Razão, mapa de ajustes e revisão</x:v>
      </x:c>
      <x:c r="E16" s="104" t="str">
        <x:v>Pendente</x:v>
      </x:c>
      <x:c r="F16" s="104" t="str">
        <x:v>Preencher</x:v>
      </x:c>
      <x:c r="G16" s="104" t="str">
        <x:v>Preencher</x:v>
      </x:c>
      <x:c r="H16" s="97"/>
      <x:c r="I16" s="105"/>
      <x:c r="J16" s="105"/>
    </x:row>
    <x:row r="17" ht="46" customHeight="1">
      <x:c r="A17" s="101" t="str">
        <x:v>C12</x:v>
      </x:c>
      <x:c r="B17" s="101" t="str">
        <x:v>Memória reexecutável</x:v>
      </x:c>
      <x:c r="C17" s="101" t="str">
        <x:v>Fórmulas mensais, fatores e totais fecham com os documentos-fonte.</x:v>
      </x:c>
      <x:c r="D17" s="101" t="str">
        <x:v>Planilha-fonte e conferência independente</x:v>
      </x:c>
      <x:c r="E17" s="104" t="str">
        <x:v>Pendente</x:v>
      </x:c>
      <x:c r="F17" s="104" t="str">
        <x:v>Preencher</x:v>
      </x:c>
      <x:c r="G17" s="104" t="str">
        <x:v>Preencher</x:v>
      </x:c>
      <x:c r="H17" s="97"/>
      <x:c r="I17" s="105"/>
      <x:c r="J17" s="105"/>
    </x:row>
    <x:row r="18" ht="46" customHeight="1">
      <x:c r="A18" s="101" t="str">
        <x:v>C13</x:v>
      </x:c>
      <x:c r="B18" s="101" t="str">
        <x:v>Realizado prevalece</x:v>
      </x:c>
      <x:c r="C18" s="101" t="str">
        <x:v>Meses encerrados não são reprojetados; somente meses futuros recebem o modelo.</x:v>
      </x:c>
      <x:c r="D18" s="101" t="str">
        <x:v>Data de corte e balancete</x:v>
      </x:c>
      <x:c r="E18" s="104" t="str">
        <x:v>Pendente</x:v>
      </x:c>
      <x:c r="F18" s="104" t="str">
        <x:v>Preencher</x:v>
      </x:c>
      <x:c r="G18" s="104" t="str">
        <x:v>Preencher</x:v>
      </x:c>
      <x:c r="H18" s="97"/>
      <x:c r="I18" s="105"/>
      <x:c r="J18" s="105"/>
    </x:row>
    <x:row r="19" ht="46" customHeight="1">
      <x:c r="A19" s="101" t="str">
        <x:v>C14</x:v>
      </x:c>
      <x:c r="B19" s="101" t="str">
        <x:v>Metas fiscais</x:v>
      </x:c>
      <x:c r="C19" s="101" t="str">
        <x:v>Receita primária validada confrontada com despesa, metas, dívida e riscos.</x:v>
      </x:c>
      <x:c r="D19" s="101" t="str">
        <x:v>AMF, RREO, RGF e simulação</x:v>
      </x:c>
      <x:c r="E19" s="104" t="str">
        <x:v>Pendente</x:v>
      </x:c>
      <x:c r="F19" s="104" t="str">
        <x:v>Preencher</x:v>
      </x:c>
      <x:c r="G19" s="104" t="str">
        <x:v>Preencher</x:v>
      </x:c>
      <x:c r="H19" s="97"/>
      <x:c r="I19" s="105"/>
      <x:c r="J19" s="105"/>
    </x:row>
    <x:row r="20" ht="46" customHeight="1">
      <x:c r="A20" s="101" t="str">
        <x:v>C15</x:v>
      </x:c>
      <x:c r="B20" s="101" t="str">
        <x:v>Aumento de gasto</x:v>
      </x:c>
      <x:c r="C20" s="101" t="str">
        <x:v>Expansão submetida aos arts. 15–17; receita permanente não presumida.</x:v>
      </x:c>
      <x:c r="D20" s="101" t="str">
        <x:v>Impacto, adequação e compensação</x:v>
      </x:c>
      <x:c r="E20" s="104" t="str">
        <x:v>Pendente</x:v>
      </x:c>
      <x:c r="F20" s="104" t="str">
        <x:v>Preencher</x:v>
      </x:c>
      <x:c r="G20" s="104" t="str">
        <x:v>Preencher</x:v>
      </x:c>
      <x:c r="H20" s="97"/>
      <x:c r="I20" s="97"/>
      <x:c r="J20" s="97"/>
    </x:row>
    <x:row r="21" ht="46" customHeight="1">
      <x:c r="A21" s="101" t="str">
        <x:v>C16</x:v>
      </x:c>
      <x:c r="B21" s="101" t="str">
        <x:v>Conclusão por quesito</x:v>
      </x:c>
      <x:c r="C21" s="101" t="str">
        <x:v>Critério, evidência, memória, limitação, diligência e conclusão individual.</x:v>
      </x:c>
      <x:c r="D21" s="101" t="str">
        <x:v>Relatório revisado</x:v>
      </x:c>
      <x:c r="E21" s="104" t="str">
        <x:v>Pendente</x:v>
      </x:c>
      <x:c r="F21" s="104" t="str">
        <x:v>Preencher</x:v>
      </x:c>
      <x:c r="G21" s="104" t="str">
        <x:v>Preencher</x:v>
      </x:c>
      <x:c r="H21" s="97"/>
      <x:c r="I21" s="97"/>
      <x:c r="J21" s="97"/>
    </x:row>
  </x:sheetData>
  <x:mergeCells>
    <x:mergeCell ref="A1:J2"/>
    <x:mergeCell ref="A3:J3"/>
    <x:mergeCell ref="I5:J5"/>
    <x:mergeCell ref="I13:J19"/>
  </x:mergeCells>
  <x:dataValidations count="1">
    <x:dataValidation type="list" sqref="E6:E21">
      <x:formula1>"Pendente,Conforme,Parcial,Não conforme,Não aplicável"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1" hidden="0" customWidth="1"/>
    <x:col min="4" max="4" width="52" hidden="0" customWidth="1"/>
    <x:col min="5" max="5" width="30" hidden="0" customWidth="1"/>
    <x:col min="6" max="6" width="30" hidden="0" customWidth="1"/>
    <x:col min="7" max="7" width="30" hidden="0" customWidth="1"/>
    <x:col min="8" max="8" width="22" hidden="0" customWidth="1"/>
  </x:cols>
  <x:sheetData>
    <x:row r="1" ht="36" customHeight="1">
      <x:c r="A1" s="5" t="str">
        <x:v>Natureza da receita e fonte/destinação</x:v>
      </x:c>
      <x:c r="B1" s="5" t="str">
        <x:v>Natureza da receita e fonte/destinação</x:v>
      </x:c>
      <x:c r="C1" s="5" t="str">
        <x:v>Natureza da receita e fonte/destinação</x:v>
      </x:c>
      <x:c r="D1" s="5" t="str">
        <x:v>Natureza da receita e fonte/destinação</x:v>
      </x:c>
      <x:c r="E1" s="5" t="str">
        <x:v>Natureza da receita e fonte/destinação</x:v>
      </x:c>
      <x:c r="F1" s="5" t="str">
        <x:v>Natureza da receita e fonte/destinação</x:v>
      </x:c>
      <x:c r="G1" s="5" t="str">
        <x:v>Natureza da receita e fonte/destinação</x:v>
      </x:c>
      <x:c r="H1" s="5" t="str">
        <x:v>Natureza da receita e fonte/destinação</x:v>
      </x:c>
    </x:row>
    <x:row r="2" ht="36" customHeight="1">
      <x:c r="A2" s="5" t="str">
        <x:v>Natureza da receita e fonte/destinação</x:v>
      </x:c>
      <x:c r="B2" s="5" t="str">
        <x:v>Natureza da receita e fonte/destinação</x:v>
      </x:c>
      <x:c r="C2" s="5" t="str">
        <x:v>Natureza da receita e fonte/destinação</x:v>
      </x:c>
      <x:c r="D2" s="5" t="str">
        <x:v>Natureza da receita e fonte/destinação</x:v>
      </x:c>
      <x:c r="E2" s="5" t="str">
        <x:v>Natureza da receita e fonte/destinação</x:v>
      </x:c>
      <x:c r="F2" s="5" t="str">
        <x:v>Natureza da receita e fonte/destinação</x:v>
      </x:c>
      <x:c r="G2" s="5" t="str">
        <x:v>Natureza da receita e fonte/destinação</x:v>
      </x:c>
      <x:c r="H2" s="5" t="str">
        <x:v>Natureza da receita e fonte/destinação</x:v>
      </x:c>
    </x:row>
    <x:row r="3" ht="30" customHeight="1">
      <x:c r="A3" s="8" t="str">
        <x:v>Validação estrutural e roteiro de conferência oficial. Selecione a tabela correspondente ao exercício-alvo, não apenas a publicação mais recente.</x:v>
      </x:c>
      <x:c r="B3" s="8" t="str">
        <x:v>Validação estrutural e roteiro de conferência oficial. Selecione a tabela correspondente ao exercício-alvo, não apenas a publicação mais recente.</x:v>
      </x:c>
      <x:c r="C3" s="8" t="str">
        <x:v>Validação estrutural e roteiro de conferência oficial. Selecione a tabela correspondente ao exercício-alvo, não apenas a publicação mais recente.</x:v>
      </x:c>
      <x:c r="D3" s="8" t="str">
        <x:v>Validação estrutural e roteiro de conferência oficial. Selecione a tabela correspondente ao exercício-alvo, não apenas a publicação mais recente.</x:v>
      </x:c>
      <x:c r="E3" s="8" t="str">
        <x:v>Validação estrutural e roteiro de conferência oficial. Selecione a tabela correspondente ao exercício-alvo, não apenas a publicação mais recente.</x:v>
      </x:c>
      <x:c r="F3" s="8" t="str">
        <x:v>Validação estrutural e roteiro de conferência oficial. Selecione a tabela correspondente ao exercício-alvo, não apenas a publicação mais recente.</x:v>
      </x:c>
      <x:c r="G3" s="8" t="str">
        <x:v>Validação estrutural e roteiro de conferência oficial. Selecione a tabela correspondente ao exercício-alvo, não apenas a publicação mais recente.</x:v>
      </x:c>
      <x:c r="H3" s="8" t="str">
        <x:v>Validação estrutural e roteiro de conferência oficial. Selecione a tabela correspondente ao exercício-alvo, não apenas a publicação mais recente.</x:v>
      </x:c>
    </x:row>
    <x:row r="4">
      <x:c r="A4" s="97"/>
      <x:c r="B4" s="97"/>
      <x:c r="C4" s="97"/>
      <x:c r="D4" s="97"/>
      <x:c r="E4" s="97"/>
      <x:c r="F4" s="97"/>
      <x:c r="G4" s="97"/>
      <x:c r="H4" s="97"/>
    </x:row>
    <x:row r="5">
      <x:c r="A5" s="26" t="str">
        <x:v>Campo</x:v>
      </x:c>
      <x:c r="B5" s="26" t="str">
        <x:v>Entrada / evidência</x:v>
      </x:c>
      <x:c r="C5" s="97"/>
      <x:c r="D5" s="26" t="str">
        <x:v>Teste</x:v>
      </x:c>
      <x:c r="E5" s="26" t="str">
        <x:v>Resultado</x:v>
      </x:c>
      <x:c r="F5" s="26" t="str">
        <x:v>Interpretação</x:v>
      </x:c>
      <x:c r="G5" s="26" t="str">
        <x:v>Ação</x:v>
      </x:c>
      <x:c r="H5" s="97"/>
    </x:row>
    <x:row r="6" ht="42" customHeight="1">
      <x:c r="A6" s="39" t="str">
        <x:v>Natureza da receita</x:v>
      </x:c>
      <x:c r="B6" s="106" t="str">
        <x:v>1.1.1.2.50.0.1</x:v>
      </x:c>
      <x:c r="C6" s="97"/>
      <x:c r="D6" s="101" t="str">
        <x:v>Natureza com 8 dígitos</x:v>
      </x:c>
      <x:c r="E6" s="101" t="str">
        <x:f>IF(LEN(SUBSTITUTE(B6,".",""))=8,"OK","PENDENTE")</x:f>
        <x:v>OK</x:v>
      </x:c>
      <x:c r="F6" s="101" t="str">
        <x:v>A pontuação pode variar; o código deve totalizar 8 dígitos.</x:v>
      </x:c>
      <x:c r="G6" s="101" t="str">
        <x:v>Conferir Ementário do exercício</x:v>
      </x:c>
      <x:c r="H6" s="97"/>
    </x:row>
    <x:row r="7" ht="42" customHeight="1">
      <x:c r="A7" s="39" t="str">
        <x:v>Descrição no Ementário</x:v>
      </x:c>
      <x:c r="B7" s="106" t="str">
        <x:v>Exemplo estrutural — confirmar no Ementário do exercício</x:v>
      </x:c>
      <x:c r="C7" s="97"/>
      <x:c r="D7" s="101" t="str">
        <x:v>Fonte 500–999</x:v>
      </x:c>
      <x:c r="E7" s="101" t="str">
        <x:f>IF(AND(B9&gt;=500,B9&lt;=999),"OK","ERRO")</x:f>
        <x:v>OK</x:v>
      </x:c>
      <x:c r="F7" s="101" t="str">
        <x:v>Padrão aplicável a Estados, DF e Municípios.</x:v>
      </x:c>
      <x:c r="G7" s="101" t="str">
        <x:v>Conferir Portaria consolidada</x:v>
      </x:c>
      <x:c r="H7" s="97"/>
    </x:row>
    <x:row r="8" ht="42" customHeight="1">
      <x:c r="A8" s="39" t="str">
        <x:v>Exercício-alvo</x:v>
      </x:c>
      <x:c r="B8" s="106" t="n">
        <x:v>2026</x:v>
      </x:c>
      <x:c r="C8" s="97"/>
      <x:c r="D8" s="101" t="str">
        <x:v>IE válido</x:v>
      </x:c>
      <x:c r="E8" s="101" t="str">
        <x:f>IF(OR(B10=1,B10=2,B10=9),"OK","ERRO")</x:f>
        <x:v>OK</x:v>
      </x:c>
      <x:c r="F8" s="101" t="str">
        <x:v>1 corrente; 2 anteriores; 9 condicionados.</x:v>
      </x:c>
      <x:c r="G8" s="101" t="str">
        <x:v>Corrigir identificação do exercício</x:v>
      </x:c>
      <x:c r="H8" s="97"/>
    </x:row>
    <x:row r="9" ht="42" customHeight="1">
      <x:c r="A9" s="39" t="str">
        <x:v>Fonte padronizada (3 dígitos)</x:v>
      </x:c>
      <x:c r="B9" s="106" t="n">
        <x:v>500</x:v>
      </x:c>
      <x:c r="C9" s="97"/>
      <x:c r="D9" s="101" t="str">
        <x:v>CO estrutural</x:v>
      </x:c>
      <x:c r="E9" s="101" t="str">
        <x:f>IF(OR(B11="",AND(B11&gt;=1000,B11&lt;=6999)),"OK","ERRO")</x:f>
        <x:v>OK</x:v>
      </x:c>
      <x:c r="F9" s="101" t="str">
        <x:v>CO é informação complementar, não fonte.</x:v>
      </x:c>
      <x:c r="G9" s="101" t="str">
        <x:v>Validar uso em receita/despesa</x:v>
      </x:c>
      <x:c r="H9" s="97"/>
    </x:row>
    <x:row r="10" ht="42" customHeight="1">
      <x:c r="A10" s="39" t="str">
        <x:v>Identificador do exercício — IE</x:v>
      </x:c>
      <x:c r="B10" s="106" t="n">
        <x:v>1</x:v>
      </x:c>
      <x:c r="C10" s="97"/>
      <x:c r="D10" s="101" t="str">
        <x:v>Chave MSC</x:v>
      </x:c>
      <x:c r="E10" s="101" t="n">
        <x:f>B10*1000+B9</x:f>
        <x:v>1500</x:v>
      </x:c>
      <x:c r="F10" s="101" t="str">
        <x:v>IE + fonte padronizada formam 4 dígitos.</x:v>
      </x:c>
      <x:c r="G10" s="101" t="str">
        <x:v>Conferir leiaute da MSC</x:v>
      </x:c>
      <x:c r="H10" s="97"/>
    </x:row>
    <x:row r="11" ht="42" customHeight="1">
      <x:c r="A11" s="39" t="str">
        <x:v>Informação complementar — CO</x:v>
      </x:c>
      <x:c r="B11" s="106" t="str"/>
      <x:c r="C11" s="97"/>
      <x:c r="D11" s="101" t="str">
        <x:v>Fonte 898</x:v>
      </x:c>
      <x:c r="E11" s="101" t="str">
        <x:f>IF(B9=898,"ATENÇÃO","OK")</x:f>
        <x:v>OK</x:v>
      </x:c>
      <x:c r="F11" s="101" t="str">
        <x:v>898 é recurso a classificar e exige tratamento.</x:v>
      </x:c>
      <x:c r="G11" s="101" t="str">
        <x:v>Reclassificar antes da conclusão</x:v>
      </x:c>
      <x:c r="H11" s="97"/>
    </x:row>
    <x:row r="12" ht="42" customHeight="1">
      <x:c r="A12" s="39" t="str">
        <x:v>Descrição/destinação legal</x:v>
      </x:c>
      <x:c r="B12" s="106" t="str">
        <x:v>Recursos não vinculados — confirmar alcance no exercício</x:v>
      </x:c>
      <x:c r="C12" s="97"/>
      <x:c r="D12" s="101" t="str">
        <x:v>CO 5001</x:v>
      </x:c>
      <x:c r="E12" s="101" t="str">
        <x:f>IF(B11=5001,"ATENÇÃO","OK")</x:f>
        <x:v>OK</x:v>
      </x:c>
      <x:c r="F12" s="101" t="str">
        <x:v>Uso específico na receita; não é fonte 5001.</x:v>
      </x:c>
      <x:c r="G12" s="101" t="str">
        <x:v>Confirmar hipótese normativa</x:v>
      </x:c>
      <x:c r="H12" s="97"/>
    </x:row>
    <x:row r="13" ht="42" customHeight="1">
      <x:c r="A13" s="39" t="str">
        <x:v>Tabela/versão/data consultada</x:v>
      </x:c>
      <x:c r="B13" s="106" t="str">
        <x:v>Tabela 2026 — registrar versão e data</x:v>
      </x:c>
      <x:c r="C13" s="97"/>
      <x:c r="D13" s="101" t="str">
        <x:v>Descrição e evidência</x:v>
      </x:c>
      <x:c r="E13" s="101" t="str">
        <x:f>IF(AND(B7&lt;&gt;"",B12&lt;&gt;"",B13&lt;&gt;"",B14&lt;&gt;""),"OK","PENDENTE")</x:f>
        <x:v>OK</x:v>
      </x:c>
      <x:c r="F13" s="101" t="str">
        <x:v>A estrutura não substitui a validação semântica.</x:v>
      </x:c>
      <x:c r="G13" s="101" t="str">
        <x:v>Anexar tabela, norma e localização</x:v>
      </x:c>
      <x:c r="H13" s="97"/>
    </x:row>
    <x:row r="14">
      <x:c r="A14" s="39" t="str">
        <x:v>Referência da evidência</x:v>
      </x:c>
      <x:c r="B14" s="106" t="str">
        <x:v>Substituir por arquivo/URL, página ou linha e data</x:v>
      </x:c>
      <x:c r="C14" s="97"/>
      <x:c r="D14" s="97"/>
      <x:c r="E14" s="97"/>
      <x:c r="F14" s="97"/>
      <x:c r="G14" s="97"/>
      <x:c r="H14" s="97"/>
    </x:row>
    <x:row r="15">
      <x:c r="A15" s="97"/>
      <x:c r="B15" s="97"/>
      <x:c r="C15" s="97"/>
      <x:c r="D15" s="97"/>
      <x:c r="E15" s="97"/>
      <x:c r="F15" s="97"/>
      <x:c r="G15" s="97"/>
      <x:c r="H15" s="97"/>
    </x:row>
    <x:row r="16">
      <x:c r="A16" s="97"/>
      <x:c r="B16" s="97"/>
      <x:c r="C16" s="97"/>
      <x:c r="D16" s="97"/>
      <x:c r="E16" s="97"/>
      <x:c r="F16" s="97"/>
      <x:c r="G16" s="97"/>
      <x:c r="H16" s="97"/>
    </x:row>
    <x:row r="17" ht="24" customHeight="1">
      <x:c r="A17" s="14" t="str">
        <x:v>Fontes oficiais e controle temporal</x:v>
      </x:c>
      <x:c r="B17" s="15" t="str">
        <x:v>Fontes oficiais e controle temporal</x:v>
      </x:c>
      <x:c r="C17" s="15" t="str">
        <x:v>Fontes oficiais e controle temporal</x:v>
      </x:c>
      <x:c r="D17" s="15" t="str">
        <x:v>Fontes oficiais e controle temporal</x:v>
      </x:c>
      <x:c r="E17" s="15" t="str">
        <x:v>Fontes oficiais e controle temporal</x:v>
      </x:c>
      <x:c r="F17" s="15" t="str">
        <x:v>Fontes oficiais e controle temporal</x:v>
      </x:c>
      <x:c r="G17" s="15" t="str">
        <x:v>Fontes oficiais e controle temporal</x:v>
      </x:c>
      <x:c r="H17" s="16" t="str">
        <x:v>Fontes oficiais e controle temporal</x:v>
      </x:c>
    </x:row>
    <x:row r="18" ht="48" customHeight="1">
      <x:c r="A18" s="101" t="str">
        <x:v>1</x:v>
      </x:c>
      <x:c r="B18" s="101" t="str">
        <x:v>Fonte/Destinação STN</x:v>
      </x:c>
      <x:c r="C18" s="101" t="str">
        <x:v>Portaria STN nº 710/2021 e consolidações</x:v>
      </x:c>
      <x:c r="D18" s="101" t="str">
        <x:v>https://www.gov.br/tesouronacional/pt-br/contabilidade-e-custos/federacao/fonte-ou-destinacao-de-recursos</x:v>
      </x:c>
      <x:c r="E18" s="101" t="str">
        <x:v>Anexo I: fonte; Anexo II: IE e MSC; CO: finalidade adicional</x:v>
      </x:c>
      <x:c r="F18" s="101" t="str">
        <x:v>Consultar a versão aplicável</x:v>
      </x:c>
      <x:c r="G18" s="104" t="str">
        <x:v>Data da consulta</x:v>
      </x:c>
      <x:c r="H18" s="104" t="str">
        <x:v>Preencher</x:v>
      </x:c>
    </x:row>
    <x:row r="19" ht="48" customHeight="1">
      <x:c r="A19" s="101" t="str">
        <x:v>2</x:v>
      </x:c>
      <x:c r="B19" s="101" t="str">
        <x:v>Ementário da Receita</x:v>
      </x:c>
      <x:c r="C19" s="101" t="str">
        <x:v>Tabela de códigos por exercício</x:v>
      </x:c>
      <x:c r="D19" s="101" t="str">
        <x:v>https://www.gov.br/tesouronacional/pt-br/contabilidade-e-custos/federacao/ementario-da-classificacao-por-natureza-de-receita-tabela-de-codigos</x:v>
      </x:c>
      <x:c r="E19" s="101" t="str">
        <x:v>Código, descrição, fato gerador e desdobramento</x:v>
      </x:c>
      <x:c r="F19" s="101" t="str">
        <x:v>Selecionar 2026/2027 conforme o alvo</x:v>
      </x:c>
      <x:c r="G19" s="104" t="str">
        <x:v>Data da consulta</x:v>
      </x:c>
      <x:c r="H19" s="104" t="str">
        <x:v>Preencher</x:v>
      </x:c>
    </x:row>
    <x:row r="20" ht="48" customHeight="1">
      <x:c r="A20" s="101" t="str">
        <x:v>3</x:v>
      </x:c>
      <x:c r="B20" s="101" t="str">
        <x:v>Norma específica da vinculação</x:v>
      </x:c>
      <x:c r="C20" s="101" t="str">
        <x:v>Constituição, lei, convênio ou contrato</x:v>
      </x:c>
      <x:c r="D20" s="101" t="str">
        <x:v>Anexar no processo</x:v>
      </x:c>
      <x:c r="E20" s="101" t="str">
        <x:v>Finalidade e restrições da fonte</x:v>
      </x:c>
      <x:c r="F20" s="101" t="str">
        <x:v>Conferir vigência</x:v>
      </x:c>
      <x:c r="G20" s="104" t="str">
        <x:v>Documento/página</x:v>
      </x:c>
      <x:c r="H20" s="104" t="str">
        <x:v>Preencher</x:v>
      </x:c>
    </x:row>
    <x:row r="21" ht="48" customHeight="1">
      <x:c r="A21" s="101" t="str">
        <x:v>4</x:v>
      </x:c>
      <x:c r="B21" s="101" t="str">
        <x:v>Execução e MSC</x:v>
      </x:c>
      <x:c r="C21" s="101" t="str">
        <x:v>Balancete, razão, RREO/DCA e MSC</x:v>
      </x:c>
      <x:c r="D21" s="101" t="str">
        <x:v>Anexar extrações</x:v>
      </x:c>
      <x:c r="E21" s="101" t="str">
        <x:v>Coerência receita × fonte × destinação</x:v>
      </x:c>
      <x:c r="F21" s="101" t="str">
        <x:v>Reconciliar valores</x:v>
      </x:c>
      <x:c r="G21" s="104" t="str">
        <x:v>Arquivo/linha</x:v>
      </x:c>
      <x:c r="H21" s="104" t="str">
        <x:v>Preencher</x:v>
      </x:c>
    </x:row>
    <x:row r="22" ht="48" customHeight="1">
      <x:c r="A22" s="101" t="str">
        <x:v>5</x:v>
      </x:c>
      <x:c r="B22" s="101" t="str">
        <x:v>Conclusão</x:v>
      </x:c>
      <x:c r="C22" s="101" t="str">
        <x:v>Natureza e fonte não são intercambiáveis</x:v>
      </x:c>
      <x:c r="D22" s="101" t="str">
        <x:v>—</x:v>
      </x:c>
      <x:c r="E22" s="101" t="str">
        <x:v>Resultado por requisito</x:v>
      </x:c>
      <x:c r="F22" s="101" t="str">
        <x:v>Revisão técnica</x:v>
      </x:c>
      <x:c r="G22" s="104" t="str">
        <x:v>Responsável/data</x:v>
      </x:c>
      <x:c r="H22" s="104" t="str">
        <x:v>Preencher</x:v>
      </x:c>
    </x:row>
  </x:sheetData>
  <x:mergeCells>
    <x:mergeCell ref="A1:H2"/>
    <x:mergeCell ref="A3:H3"/>
    <x:mergeCell ref="A17:H17"/>
  </x:mergeCells>
  <x:conditionalFormatting sqref="E6:E13">
    <x:cfRule type="containsText" dxfId="9" priority="1" operator="containsText" text="OK"/>
    <x:cfRule type="containsText" dxfId="10" priority="2" operator="containsText" text="ERRO"/>
    <x:cfRule type="containsText" dxfId="11" priority="3" operator="containsText" text="ATENÇÃO"/>
  </x:conditionalFormatting>
  <x:dataValidations count="1">
    <x:dataValidation type="list" sqref="B10">
      <x:formula1>"1,2,9"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27" hidden="0" customWidth="1"/>
    <x:col min="3" max="3" width="55" hidden="0" customWidth="1"/>
    <x:col min="4" max="4" width="27" hidden="0" customWidth="1"/>
    <x:col min="5" max="5" width="34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5" t="str">
        <x:v>Impacto da estimativa nas metas fiscais e no gasto</x:v>
      </x:c>
      <x:c r="B1" s="5" t="str">
        <x:v>Impacto da estimativa nas metas fiscais e no gasto</x:v>
      </x:c>
      <x:c r="C1" s="5" t="str">
        <x:v>Impacto da estimativa nas metas fiscais e no gasto</x:v>
      </x:c>
      <x:c r="D1" s="5" t="str">
        <x:v>Impacto da estimativa nas metas fiscais e no gasto</x:v>
      </x:c>
      <x:c r="E1" s="5" t="str">
        <x:v>Impacto da estimativa nas metas fiscais e no gasto</x:v>
      </x:c>
      <x:c r="F1" s="5" t="str">
        <x:v>Impacto da estimativa nas metas fiscais e no gasto</x:v>
      </x:c>
      <x:c r="G1" s="5" t="str">
        <x:v>Impacto da estimativa nas metas fiscais e no gasto</x:v>
      </x:c>
      <x:c r="H1" s="5" t="str">
        <x:v>Impacto da estimativa nas metas fiscais e no gasto</x:v>
      </x:c>
    </x:row>
    <x:row r="2" ht="36" customHeight="1">
      <x:c r="A2" s="5" t="str">
        <x:v>Impacto da estimativa nas metas fiscais e no gasto</x:v>
      </x:c>
      <x:c r="B2" s="5" t="str">
        <x:v>Impacto da estimativa nas metas fiscais e no gasto</x:v>
      </x:c>
      <x:c r="C2" s="5" t="str">
        <x:v>Impacto da estimativa nas metas fiscais e no gasto</x:v>
      </x:c>
      <x:c r="D2" s="5" t="str">
        <x:v>Impacto da estimativa nas metas fiscais e no gasto</x:v>
      </x:c>
      <x:c r="E2" s="5" t="str">
        <x:v>Impacto da estimativa nas metas fiscais e no gasto</x:v>
      </x:c>
      <x:c r="F2" s="5" t="str">
        <x:v>Impacto da estimativa nas metas fiscais e no gasto</x:v>
      </x:c>
      <x:c r="G2" s="5" t="str">
        <x:v>Impacto da estimativa nas metas fiscais e no gasto</x:v>
      </x:c>
      <x:c r="H2" s="5" t="str">
        <x:v>Impacto da estimativa nas metas fiscais e no gasto</x:v>
      </x:c>
    </x:row>
    <x:row r="3" ht="30" customHeight="1">
      <x:c r="A3" s="8" t="str">
        <x:v>Simulação didática. Use receitas e despesas primárias comparáveis, ajustes da LDO/MDF e evidências da execução.</x:v>
      </x:c>
      <x:c r="B3" s="8" t="str">
        <x:v>Simulação didática. Use receitas e despesas primárias comparáveis, ajustes da LDO/MDF e evidências da execução.</x:v>
      </x:c>
      <x:c r="C3" s="8" t="str">
        <x:v>Simulação didática. Use receitas e despesas primárias comparáveis, ajustes da LDO/MDF e evidências da execução.</x:v>
      </x:c>
      <x:c r="D3" s="8" t="str">
        <x:v>Simulação didática. Use receitas e despesas primárias comparáveis, ajustes da LDO/MDF e evidências da execução.</x:v>
      </x:c>
      <x:c r="E3" s="8" t="str">
        <x:v>Simulação didática. Use receitas e despesas primárias comparáveis, ajustes da LDO/MDF e evidências da execução.</x:v>
      </x:c>
      <x:c r="F3" s="8" t="str">
        <x:v>Simulação didática. Use receitas e despesas primárias comparáveis, ajustes da LDO/MDF e evidências da execução.</x:v>
      </x:c>
      <x:c r="G3" s="8" t="str">
        <x:v>Simulação didática. Use receitas e despesas primárias comparáveis, ajustes da LDO/MDF e evidências da execução.</x:v>
      </x:c>
      <x:c r="H3" s="8" t="str">
        <x:v>Simulação didática. Use receitas e despesas primárias comparáveis, ajustes da LDO/MDF e evidências da execução.</x:v>
      </x:c>
    </x:row>
    <x:row r="4">
      <x:c r="A4" s="97"/>
      <x:c r="B4" s="97"/>
      <x:c r="C4" s="97"/>
      <x:c r="D4" s="97"/>
      <x:c r="E4" s="97"/>
      <x:c r="F4" s="97"/>
      <x:c r="G4" s="97"/>
      <x:c r="H4" s="97"/>
    </x:row>
    <x:row r="5">
      <x:c r="A5" s="26" t="str">
        <x:v>Entrada</x:v>
      </x:c>
      <x:c r="B5" s="26" t="str">
        <x:v>Valor</x:v>
      </x:c>
      <x:c r="C5" s="97"/>
      <x:c r="D5" s="26" t="str">
        <x:v>Indicador</x:v>
      </x:c>
      <x:c r="E5" s="26" t="str">
        <x:v>Resultado</x:v>
      </x:c>
      <x:c r="F5" s="26" t="str">
        <x:v>Leitura</x:v>
      </x:c>
      <x:c r="G5" s="97"/>
      <x:c r="H5" s="97"/>
    </x:row>
    <x:row r="6" ht="38" customHeight="1">
      <x:c r="A6" s="39" t="str">
        <x:v>Receita primária prevista na LOA</x:v>
      </x:c>
      <x:c r="B6" s="102" t="n">
        <x:v>110000000</x:v>
      </x:c>
      <x:c r="C6" s="97"/>
      <x:c r="D6" s="101" t="str">
        <x:v>Superestimativa</x:v>
      </x:c>
      <x:c r="E6" s="118" t="n">
        <x:f>MAX(0,B6-B7)</x:f>
        <x:v>10000000</x:v>
      </x:c>
      <x:c r="F6" s="101" t="str">
        <x:v>Previsão menos receita validada, se positiva.</x:v>
      </x:c>
      <x:c r="G6" s="97"/>
      <x:c r="H6" s="97"/>
    </x:row>
    <x:row r="7" ht="38" customHeight="1">
      <x:c r="A7" s="39" t="str">
        <x:v>Receita primária validada</x:v>
      </x:c>
      <x:c r="B7" s="102" t="n">
        <x:v>100000000</x:v>
      </x:c>
      <x:c r="C7" s="97"/>
      <x:c r="D7" s="101" t="str">
        <x:v>Despesa total após expansão</x:v>
      </x:c>
      <x:c r="E7" s="118" t="n">
        <x:f>B8+B10</x:f>
        <x:v>110000000</x:v>
      </x:c>
      <x:c r="F7" s="101" t="str">
        <x:v>Despesa fixada mais aumento proposto.</x:v>
      </x:c>
      <x:c r="G7" s="97"/>
      <x:c r="H7" s="97"/>
    </x:row>
    <x:row r="8" ht="38" customHeight="1">
      <x:c r="A8" s="39" t="str">
        <x:v>Despesa primária fixada antes da expansão</x:v>
      </x:c>
      <x:c r="B8" s="102" t="n">
        <x:v>110000000</x:v>
      </x:c>
      <x:c r="C8" s="97"/>
      <x:c r="D8" s="101" t="str">
        <x:v>Resultado pela previsão</x:v>
      </x:c>
      <x:c r="E8" s="118" t="n">
        <x:f>B6-E7</x:f>
        <x:v>0</x:v>
      </x:c>
      <x:c r="F8" s="101" t="str">
        <x:v>Pode aparentar cumprimento quando a receita está inflada.</x:v>
      </x:c>
      <x:c r="G8" s="97"/>
      <x:c r="H8" s="97"/>
    </x:row>
    <x:row r="9" ht="38" customHeight="1">
      <x:c r="A9" s="39" t="str">
        <x:v>Meta de resultado primário</x:v>
      </x:c>
      <x:c r="B9" s="102" t="n">
        <x:v>0</x:v>
      </x:c>
      <x:c r="C9" s="97"/>
      <x:c r="D9" s="101" t="str">
        <x:v>Resultado com receita validada</x:v>
      </x:c>
      <x:c r="E9" s="118" t="n">
        <x:f>B7-E7</x:f>
        <x:v>-10000000</x:v>
      </x:c>
      <x:c r="F9" s="101" t="str">
        <x:v>Confrontar com a meta.</x:v>
      </x:c>
      <x:c r="G9" s="97"/>
      <x:c r="H9" s="97"/>
    </x:row>
    <x:row r="10" ht="38" customHeight="1">
      <x:c r="A10" s="39" t="str">
        <x:v>Aumento de gasto proposto</x:v>
      </x:c>
      <x:c r="B10" s="102" t="n">
        <x:v>0</x:v>
      </x:c>
      <x:c r="C10" s="97"/>
      <x:c r="D10" s="101" t="str">
        <x:v>Despesa máxima compatível com a meta</x:v>
      </x:c>
      <x:c r="E10" s="118" t="n">
        <x:f>B7-B9</x:f>
        <x:v>100000000</x:v>
      </x:c>
      <x:c r="F10" s="101" t="str">
        <x:v>Receita validada menos meta.</x:v>
      </x:c>
      <x:c r="G10" s="97"/>
      <x:c r="H10" s="97"/>
    </x:row>
    <x:row r="11" ht="38" customHeight="1">
      <x:c r="A11" s="39" t="str">
        <x:v>Receita permanente comprovada</x:v>
      </x:c>
      <x:c r="B11" s="102" t="n">
        <x:v>0</x:v>
      </x:c>
      <x:c r="C11" s="97"/>
      <x:c r="D11" s="101" t="str">
        <x:v>Limitação/compensação indicativa</x:v>
      </x:c>
      <x:c r="E11" s="118" t="n">
        <x:f>MAX(0,E7-E10)</x:f>
        <x:v>10000000</x:v>
      </x:c>
      <x:c r="F11" s="101" t="str">
        <x:v>Lacuna antes de vinculações e regras da LDO.</x:v>
      </x:c>
      <x:c r="G11" s="97"/>
      <x:c r="H11" s="97"/>
    </x:row>
    <x:row r="12" ht="38" customHeight="1">
      <x:c r="A12" s="39" t="str">
        <x:v>Despesa discricionária limitável</x:v>
      </x:c>
      <x:c r="B12" s="102" t="n">
        <x:v>15000000</x:v>
      </x:c>
      <x:c r="C12" s="97"/>
      <x:c r="D12" s="101" t="str">
        <x:v>Lacuna após discricionárias</x:v>
      </x:c>
      <x:c r="E12" s="118" t="n">
        <x:f>MAX(0,E11-B12)</x:f>
        <x:v>0</x:v>
      </x:c>
      <x:c r="F12" s="101" t="str">
        <x:v>Risco que não seria absorvido pela base limitável informada.</x:v>
      </x:c>
      <x:c r="G12" s="97"/>
      <x:c r="H12" s="97"/>
    </x:row>
    <x:row r="13" ht="38" customHeight="1">
      <x:c r="A13" s="39" t="str">
        <x:v>Aumento obrigatório continuado?</x:v>
      </x:c>
      <x:c r="B13" s="106" t="str">
        <x:v>Não</x:v>
      </x:c>
      <x:c r="C13" s="97"/>
      <x:c r="D13" s="101" t="str">
        <x:v>Lacuna de receita permanente</x:v>
      </x:c>
      <x:c r="E13" s="118" t="n">
        <x:f>IF(B13="Sim",MAX(0,B10-B11),0)</x:f>
        <x:v>0</x:v>
      </x:c>
      <x:c r="F13" s="101" t="str">
        <x:v>Teste simplificado do art. 17 da LRF.</x:v>
      </x:c>
      <x:c r="G13" s="97"/>
      <x:c r="H13" s="97"/>
    </x:row>
    <x:row r="14" ht="38" customHeight="1">
      <x:c r="A14" s="97"/>
      <x:c r="B14" s="97"/>
      <x:c r="C14" s="97"/>
      <x:c r="D14" s="101" t="str">
        <x:v>Status</x:v>
      </x:c>
      <x:c r="E14" s="95" t="str">
        <x:f>IF(OR(E11&gt;0,E13&gt;0),"RISCO — revisar gasto e medidas","SEM LACUNA ARITMÉTICA")</x:f>
        <x:v>RISCO — revisar gasto e medidas</x:v>
      </x:c>
      <x:c r="F14" s="101" t="str">
        <x:v>Não substitui a análise legal, financeira e por fonte.</x:v>
      </x:c>
      <x:c r="G14" s="97"/>
      <x:c r="H14" s="97"/>
    </x:row>
    <x:row r="15">
      <x:c r="A15" s="97"/>
      <x:c r="B15" s="97"/>
      <x:c r="C15" s="97"/>
      <x:c r="D15" s="97"/>
      <x:c r="E15" s="97"/>
      <x:c r="F15" s="97"/>
      <x:c r="G15" s="97"/>
      <x:c r="H15" s="97"/>
    </x:row>
    <x:row r="16">
      <x:c r="A16" s="97"/>
      <x:c r="B16" s="97"/>
      <x:c r="C16" s="97"/>
      <x:c r="D16" s="97"/>
      <x:c r="E16" s="97"/>
      <x:c r="F16" s="97"/>
      <x:c r="G16" s="97"/>
      <x:c r="H16" s="97"/>
    </x:row>
    <x:row r="17" ht="24" customHeight="1">
      <x:c r="A17" s="14" t="str">
        <x:v>Interpretação e controles obrigatórios</x:v>
      </x:c>
      <x:c r="B17" s="15" t="str">
        <x:v>Interpretação e controles obrigatórios</x:v>
      </x:c>
      <x:c r="C17" s="15" t="str">
        <x:v>Interpretação e controles obrigatórios</x:v>
      </x:c>
      <x:c r="D17" s="15" t="str">
        <x:v>Interpretação e controles obrigatórios</x:v>
      </x:c>
      <x:c r="E17" s="15" t="str">
        <x:v>Interpretação e controles obrigatórios</x:v>
      </x:c>
      <x:c r="F17" s="15" t="str">
        <x:v>Interpretação e controles obrigatórios</x:v>
      </x:c>
      <x:c r="G17" s="15" t="str">
        <x:v>Interpretação e controles obrigatórios</x:v>
      </x:c>
      <x:c r="H17" s="16" t="str">
        <x:v>Interpretação e controles obrigatórios</x:v>
      </x:c>
    </x:row>
    <x:row r="18" ht="46" customHeight="1">
      <x:c r="A18" s="101" t="str">
        <x:v>1</x:v>
      </x:c>
      <x:c r="B18" s="101" t="str">
        <x:v>Meta fiscal</x:v>
      </x:c>
      <x:c r="C18" s="101" t="str">
        <x:v>A estimativa sustenta a fixação, mas a meta exige coerência entre receitas, despesas, resultados e dívida.</x:v>
      </x:c>
      <x:c r="D18" s="101" t="str">
        <x:v>LRF, arts. 4º e 5º</x:v>
      </x:c>
      <x:c r="E18" s="101" t="str">
        <x:v>Conferir AMF e LOA</x:v>
      </x:c>
      <x:c r="F18" s="101" t="str"/>
      <x:c r="G18" s="101" t="str"/>
      <x:c r="H18" s="101" t="str"/>
    </x:row>
    <x:row r="19" ht="46" customHeight="1">
      <x:c r="A19" s="101" t="str">
        <x:v>2</x:v>
      </x:c>
      <x:c r="B19" s="101" t="str">
        <x:v>Superestimativa</x:v>
      </x:c>
      <x:c r="C19" s="101" t="str">
        <x:v>Receita inflada permite despesa também inflada; se não realizada, exige ajuste da execução e pode gerar falta de caixa.</x:v>
      </x:c>
      <x:c r="D19" s="101" t="str">
        <x:v>MDF 15ª ed.; LRF, art. 9º</x:v>
      </x:c>
      <x:c r="E19" s="101" t="str">
        <x:v>Quantificar diferença e mês de frustração</x:v>
      </x:c>
      <x:c r="F19" s="101" t="str"/>
      <x:c r="G19" s="101" t="str"/>
      <x:c r="H19" s="101" t="str"/>
    </x:row>
    <x:row r="20" ht="46" customHeight="1">
      <x:c r="A20" s="101" t="str">
        <x:v>3</x:v>
      </x:c>
      <x:c r="B20" s="101" t="str">
        <x:v>Programação financeira</x:v>
      </x:c>
      <x:c r="C20" s="101" t="str">
        <x:v>Cronograma mensal deve ser revisto quando a arrecadação ameaça a meta.</x:v>
      </x:c>
      <x:c r="D20" s="101" t="str">
        <x:v>LRF, arts. 8º e 9º</x:v>
      </x:c>
      <x:c r="E20" s="101" t="str">
        <x:v>Simular limitação por fonte e órgão</x:v>
      </x:c>
      <x:c r="F20" s="101" t="str"/>
      <x:c r="G20" s="101" t="str"/>
      <x:c r="H20" s="101" t="str"/>
    </x:row>
    <x:row r="21" ht="46" customHeight="1">
      <x:c r="A21" s="101" t="str">
        <x:v>4</x:v>
      </x:c>
      <x:c r="B21" s="101" t="str">
        <x:v>Aumento de gasto</x:v>
      </x:c>
      <x:c r="C21" s="101" t="str">
        <x:v>Estimativa não prova receita permanente nem dispensa impacto, adequação e compensação.</x:v>
      </x:c>
      <x:c r="D21" s="101" t="str">
        <x:v>LRF, arts. 15–17</x:v>
      </x:c>
      <x:c r="E21" s="101" t="str">
        <x:v>Separar gasto continuado e não continuado</x:v>
      </x:c>
      <x:c r="F21" s="101" t="str"/>
      <x:c r="G21" s="101" t="str"/>
      <x:c r="H21" s="101" t="str"/>
    </x:row>
    <x:row r="22" ht="46" customHeight="1">
      <x:c r="A22" s="101" t="str">
        <x:v>5</x:v>
      </x:c>
      <x:c r="B22" s="101" t="str">
        <x:v>Riscos</x:v>
      </x:c>
      <x:c r="C22" s="101" t="str">
        <x:v>Examinar restos a pagar, cancelamentos, atraso de pagamentos, metas e serviço da dívida.</x:v>
      </x:c>
      <x:c r="D22" s="101" t="str">
        <x:v>RREO, RGF e fluxo de caixa</x:v>
      </x:c>
      <x:c r="E22" s="101" t="str">
        <x:v>Registrar cenário base e estressado</x:v>
      </x:c>
      <x:c r="F22" s="101" t="str"/>
      <x:c r="G22" s="101" t="str"/>
      <x:c r="H22" s="101" t="str"/>
    </x:row>
    <x:row r="23" ht="46" customHeight="1">
      <x:c r="A23" s="101" t="str">
        <x:v>6</x:v>
      </x:c>
      <x:c r="B23" s="101" t="str">
        <x:v>Conclusão</x:v>
      </x:c>
      <x:c r="C23" s="101" t="str">
        <x:v>O cálculo é indicador de risco; concluir somente após conciliar classificações, vinculações e documentos.</x:v>
      </x:c>
      <x:c r="D23" s="101" t="str">
        <x:v>Revisão humana</x:v>
      </x:c>
      <x:c r="E23" s="101" t="str">
        <x:v>Registrar limitações</x:v>
      </x:c>
      <x:c r="F23" s="101" t="str"/>
      <x:c r="G23" s="101" t="str"/>
      <x:c r="H23" s="101" t="str"/>
    </x:row>
  </x:sheetData>
  <x:mergeCells>
    <x:mergeCell ref="A1:H2"/>
    <x:mergeCell ref="A3:H3"/>
    <x:mergeCell ref="A17:H17"/>
  </x:mergeCells>
  <x:dataValidations count="1">
    <x:dataValidation type="list" sqref="B13">
      <x:formula1>"Não,Sim"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30" hidden="0" customWidth="1"/>
    <x:col min="4" max="4" width="25" hidden="0" customWidth="1"/>
    <x:col min="5" max="5" width="34" hidden="0" customWidth="1"/>
    <x:col min="6" max="6" width="42" hidden="0" customWidth="1"/>
    <x:col min="7" max="7" width="42" hidden="0" customWidth="1"/>
    <x:col min="8" max="8" width="42" hidden="0" customWidth="1"/>
    <x:col min="9" max="9" width="18" hidden="0" customWidth="1"/>
    <x:col min="10" max="10" width="36" hidden="0" customWidth="1"/>
    <x:col min="11" max="11" width="36" hidden="0" customWidth="1"/>
  </x:cols>
  <x:sheetData>
    <x:row r="1" ht="36" customHeight="1">
      <x:c r="A1" s="5" t="str">
        <x:v>Demandas CEAT — matriz de atividades e respostas</x:v>
      </x:c>
      <x:c r="B1" s="5" t="str">
        <x:v>Demandas CEAT — matriz de atividades e respostas</x:v>
      </x:c>
      <x:c r="C1" s="5" t="str">
        <x:v>Demandas CEAT — matriz de atividades e respostas</x:v>
      </x:c>
      <x:c r="D1" s="5" t="str">
        <x:v>Demandas CEAT — matriz de atividades e respostas</x:v>
      </x:c>
      <x:c r="E1" s="5" t="str">
        <x:v>Demandas CEAT — matriz de atividades e respostas</x:v>
      </x:c>
      <x:c r="F1" s="5" t="str">
        <x:v>Demandas CEAT — matriz de atividades e respostas</x:v>
      </x:c>
      <x:c r="G1" s="5" t="str">
        <x:v>Demandas CEAT — matriz de atividades e respostas</x:v>
      </x:c>
      <x:c r="H1" s="5" t="str">
        <x:v>Demandas CEAT — matriz de atividades e respostas</x:v>
      </x:c>
      <x:c r="I1" s="5" t="str">
        <x:v>Demandas CEAT — matriz de atividades e respostas</x:v>
      </x:c>
      <x:c r="J1" s="5" t="str">
        <x:v>Demandas CEAT — matriz de atividades e respostas</x:v>
      </x:c>
      <x:c r="K1" s="5" t="str">
        <x:v>Demandas CEAT — matriz de atividades e respostas</x:v>
      </x:c>
    </x:row>
    <x:row r="2" ht="36" customHeight="1">
      <x:c r="A2" s="5" t="str">
        <x:v>Demandas CEAT — matriz de atividades e respostas</x:v>
      </x:c>
      <x:c r="B2" s="5" t="str">
        <x:v>Demandas CEAT — matriz de atividades e respostas</x:v>
      </x:c>
      <x:c r="C2" s="5" t="str">
        <x:v>Demandas CEAT — matriz de atividades e respostas</x:v>
      </x:c>
      <x:c r="D2" s="5" t="str">
        <x:v>Demandas CEAT — matriz de atividades e respostas</x:v>
      </x:c>
      <x:c r="E2" s="5" t="str">
        <x:v>Demandas CEAT — matriz de atividades e respostas</x:v>
      </x:c>
      <x:c r="F2" s="5" t="str">
        <x:v>Demandas CEAT — matriz de atividades e respostas</x:v>
      </x:c>
      <x:c r="G2" s="5" t="str">
        <x:v>Demandas CEAT — matriz de atividades e respostas</x:v>
      </x:c>
      <x:c r="H2" s="5" t="str">
        <x:v>Demandas CEAT — matriz de atividades e respostas</x:v>
      </x:c>
      <x:c r="I2" s="5" t="str">
        <x:v>Demandas CEAT — matriz de atividades e respostas</x:v>
      </x:c>
      <x:c r="J2" s="5" t="str">
        <x:v>Demandas CEAT — matriz de atividades e respostas</x:v>
      </x:c>
      <x:c r="K2" s="5" t="str">
        <x:v>Demandas CEAT — matriz de atividades e respostas</x:v>
      </x:c>
    </x:row>
    <x:row r="3" ht="30" customHeight="1">
      <x:c r="A3" s="8" t="str">
        <x:v>Fonte: apontamentos recebidos no arquivo “Demandas Receitas CEAT”, 4 páginas. Conclusão individual por quesito.</x:v>
      </x:c>
      <x:c r="B3" s="8" t="str">
        <x:v>Fonte: apontamentos recebidos no arquivo “Demandas Receitas CEAT”, 4 páginas. Conclusão individual por quesito.</x:v>
      </x:c>
      <x:c r="C3" s="8" t="str">
        <x:v>Fonte: apontamentos recebidos no arquivo “Demandas Receitas CEAT”, 4 páginas. Conclusão individual por quesito.</x:v>
      </x:c>
      <x:c r="D3" s="8" t="str">
        <x:v>Fonte: apontamentos recebidos no arquivo “Demandas Receitas CEAT”, 4 páginas. Conclusão individual por quesito.</x:v>
      </x:c>
      <x:c r="E3" s="8" t="str">
        <x:v>Fonte: apontamentos recebidos no arquivo “Demandas Receitas CEAT”, 4 páginas. Conclusão individual por quesito.</x:v>
      </x:c>
      <x:c r="F3" s="8" t="str">
        <x:v>Fonte: apontamentos recebidos no arquivo “Demandas Receitas CEAT”, 4 páginas. Conclusão individual por quesito.</x:v>
      </x:c>
      <x:c r="G3" s="8" t="str">
        <x:v>Fonte: apontamentos recebidos no arquivo “Demandas Receitas CEAT”, 4 páginas. Conclusão individual por quesito.</x:v>
      </x:c>
      <x:c r="H3" s="8" t="str">
        <x:v>Fonte: apontamentos recebidos no arquivo “Demandas Receitas CEAT”, 4 páginas. Conclusão individual por quesito.</x:v>
      </x:c>
      <x:c r="I3" s="8" t="str">
        <x:v>Fonte: apontamentos recebidos no arquivo “Demandas Receitas CEAT”, 4 páginas. Conclusão individual por quesito.</x:v>
      </x:c>
      <x:c r="J3" s="8" t="str">
        <x:v>Fonte: apontamentos recebidos no arquivo “Demandas Receitas CEAT”, 4 páginas. Conclusão individual por quesito.</x:v>
      </x:c>
      <x:c r="K3" s="8" t="str">
        <x:v>Fonte: apontamentos recebidos no arquivo “Demandas Receitas CEAT”, 4 páginas. Conclusão individual por quesito.</x:v>
      </x:c>
    </x:row>
    <x:row r="4">
      <x:c r="A4" s="97"/>
      <x:c r="B4" s="97"/>
      <x:c r="C4" s="97"/>
      <x:c r="D4" s="97"/>
      <x:c r="E4" s="97"/>
      <x:c r="F4" s="97"/>
      <x:c r="G4" s="97"/>
      <x:c r="H4" s="97"/>
      <x:c r="I4" s="97"/>
      <x:c r="J4" s="97"/>
      <x:c r="K4" s="97"/>
    </x:row>
    <x:row r="5">
      <x:c r="A5" s="26" t="str">
        <x:v>Código</x:v>
      </x:c>
      <x:c r="B5" s="26" t="str">
        <x:v>Bloco</x:v>
      </x:c>
      <x:c r="C5" s="26" t="str">
        <x:v>Processo</x:v>
      </x:c>
      <x:c r="D5" s="26" t="str">
        <x:v>Ente/localidade</x:v>
      </x:c>
      <x:c r="E5" s="26" t="str">
        <x:v>Quesito</x:v>
      </x:c>
      <x:c r="F5" s="26" t="str">
        <x:v>Atividade prática</x:v>
      </x:c>
      <x:c r="G5" s="26" t="str">
        <x:v>Evidência mínima</x:v>
      </x:c>
      <x:c r="H5" s="26" t="str">
        <x:v>Produto</x:v>
      </x:c>
      <x:c r="I5" s="26" t="str">
        <x:v>Status</x:v>
      </x:c>
      <x:c r="J5" s="26" t="str">
        <x:v>Referência</x:v>
      </x:c>
      <x:c r="K5" s="26" t="str">
        <x:v>Conclusão / resposta</x:v>
      </x:c>
    </x:row>
    <x:row r="6" ht="64" customHeight="1">
      <x:c r="A6" s="101" t="str">
        <x:v>REC-01</x:v>
      </x:c>
      <x:c r="B6" s="101" t="str">
        <x:v>Estimativa</x:v>
      </x:c>
      <x:c r="C6" s="101" t="str">
        <x:v>IDEA 186.9.479389/2025</x:v>
      </x:c>
      <x:c r="D6" s="101" t="str">
        <x:v>Mundo Novo</x:v>
      </x:c>
      <x:c r="E6" s="101" t="str">
        <x:v>Previsão 2026: art. 12 e método da LDO</x:v>
      </x:c>
      <x:c r="F6" s="101" t="str">
        <x:v>Reconciliar 36 meses, reexecutar fatores/modelos e confrontar meta/despesa.</x:v>
      </x:c>
      <x:c r="G6" s="101" t="str">
        <x:v>LDO, PLOA/LOA, memória, RREO, DCA/SICONFI e índices</x:v>
      </x:c>
      <x:c r="H6" s="101" t="str">
        <x:v>Matriz LDO × memória, recálculo e impacto fiscal</x:v>
      </x:c>
      <x:c r="I6" s="104" t="str">
        <x:v>Pendente</x:v>
      </x:c>
      <x:c r="J6" s="104" t="str">
        <x:v>Preencher</x:v>
      </x:c>
      <x:c r="K6" s="104" t="str">
        <x:v>Preencher</x:v>
      </x:c>
    </x:row>
    <x:row r="7" ht="64" customHeight="1">
      <x:c r="A7" s="101" t="str">
        <x:v>REC-02</x:v>
      </x:c>
      <x:c r="B7" s="101" t="str">
        <x:v>Estimativa</x:v>
      </x:c>
      <x:c r="C7" s="101" t="str">
        <x:v>IDEA 716.9.343592/2025</x:v>
      </x:c>
      <x:c r="D7" s="101" t="str">
        <x:v>Pintadas / Ipirá</x:v>
      </x:c>
      <x:c r="E7" s="101" t="str">
        <x:v>Aderência à LDO e inconsistências</x:v>
      </x:c>
      <x:c r="F7" s="101" t="str">
        <x:v>Mapear parâmetros da LDO para campos/fórmulas e quantificar divergências.</x:v>
      </x:c>
      <x:c r="G7" s="101" t="str">
        <x:v>LDO, memória por receita, séries e notas das unidades</x:v>
      </x:c>
      <x:c r="H7" s="101" t="str">
        <x:v>Quadro de aderência e diligências</x:v>
      </x:c>
      <x:c r="I7" s="104" t="str">
        <x:v>Pendente</x:v>
      </x:c>
      <x:c r="J7" s="104" t="str">
        <x:v>Preencher</x:v>
      </x:c>
      <x:c r="K7" s="104" t="str">
        <x:v>Preencher</x:v>
      </x:c>
    </x:row>
    <x:row r="8" ht="64" customHeight="1">
      <x:c r="A8" s="101" t="str">
        <x:v>REC-03.1</x:v>
      </x:c>
      <x:c r="B8" s="101" t="str">
        <x:v>Estimativa</x:v>
      </x:c>
      <x:c r="C8" s="101" t="str">
        <x:v>IDEA 247.9.360553/2025</x:v>
      </x:c>
      <x:c r="D8" s="101" t="str">
        <x:v>Riacho de Santana</x:v>
      </x:c>
      <x:c r="E8" s="101" t="str">
        <x:v>Q1 — normas técnicas e legais</x:v>
      </x:c>
      <x:c r="F8" s="101" t="str">
        <x:v>Aplicar checklist legal/metodológico e conferir classificação e aprovação.</x:v>
      </x:c>
      <x:c r="G8" s="101" t="str">
        <x:v>LDO, LOA, leis, Ementário, Portaria 710 e memória</x:v>
      </x:c>
      <x:c r="H8" s="101" t="str">
        <x:v>Resposta direta por requisito</x:v>
      </x:c>
      <x:c r="I8" s="104" t="str">
        <x:v>Pendente</x:v>
      </x:c>
      <x:c r="J8" s="104" t="str">
        <x:v>Preencher</x:v>
      </x:c>
      <x:c r="K8" s="104" t="str">
        <x:v>Preencher</x:v>
      </x:c>
    </x:row>
    <x:row r="9" ht="64" customHeight="1">
      <x:c r="A9" s="101" t="str">
        <x:v>REC-03.2</x:v>
      </x:c>
      <x:c r="B9" s="101" t="str">
        <x:v>Estimativa</x:v>
      </x:c>
      <x:c r="C9" s="101" t="str">
        <x:v>IDEA 247.9.360553/2025</x:v>
      </x:c>
      <x:c r="D9" s="101" t="str">
        <x:v>Riacho de Santana</x:v>
      </x:c>
      <x:c r="E9" s="101" t="str">
        <x:v>Q2 — legislação, preços e crescimento</x:v>
      </x:c>
      <x:c r="F9" s="101" t="str">
        <x:v>Vincular fatores ao fato gerador e reexecutar produto mensal e vigência.</x:v>
      </x:c>
      <x:c r="G9" s="101" t="str">
        <x:v>Normas, séries de índices, volume e memória mensal</x:v>
      </x:c>
      <x:c r="H9" s="101" t="str">
        <x:v>Mapa preço × quantidade × legislação</x:v>
      </x:c>
      <x:c r="I9" s="104" t="str">
        <x:v>Pendente</x:v>
      </x:c>
      <x:c r="J9" s="104" t="str">
        <x:v>Preencher</x:v>
      </x:c>
      <x:c r="K9" s="104" t="str">
        <x:v>Preencher</x:v>
      </x:c>
    </x:row>
    <x:row r="10" ht="64" customHeight="1">
      <x:c r="A10" s="101" t="str">
        <x:v>REC-03.3</x:v>
      </x:c>
      <x:c r="B10" s="101" t="str">
        <x:v>Estimativa</x:v>
      </x:c>
      <x:c r="C10" s="101" t="str">
        <x:v>IDEA 247.9.360553/2025</x:v>
      </x:c>
      <x:c r="D10" s="101" t="str">
        <x:v>Riacho de Santana</x:v>
      </x:c>
      <x:c r="E10" s="101" t="str">
        <x:v>Q3 — três anos, dois projetados e método</x:v>
      </x:c>
      <x:c r="F10" s="101" t="str">
        <x:v>Conferir completude temporal, totais e reprodutibilidade.</x:v>
      </x:c>
      <x:c r="G10" s="101" t="str">
        <x:v>Quadros 3+2, 36 meses, t+1/t+2 e memória</x:v>
      </x:c>
      <x:c r="H10" s="101" t="str">
        <x:v>Tabela temporal e lacunas</x:v>
      </x:c>
      <x:c r="I10" s="104" t="str">
        <x:v>Pendente</x:v>
      </x:c>
      <x:c r="J10" s="104" t="str">
        <x:v>Preencher</x:v>
      </x:c>
      <x:c r="K10" s="104" t="str">
        <x:v>Preencher</x:v>
      </x:c>
    </x:row>
    <x:row r="11" ht="64" customHeight="1">
      <x:c r="A11" s="101" t="str">
        <x:v>REC-03.4</x:v>
      </x:c>
      <x:c r="B11" s="101" t="str">
        <x:v>Operação de crédito</x:v>
      </x:c>
      <x:c r="C11" s="101" t="str">
        <x:v>IDEA 247.9.360553/2025</x:v>
      </x:c>
      <x:c r="D11" s="101" t="str">
        <x:v>Riacho de Santana</x:v>
      </x:c>
      <x:c r="E11" s="101" t="str">
        <x:v>Q4 — regra de ouro</x:v>
      </x:c>
      <x:c r="F11" s="101" t="str">
        <x:v>Apurar operações de crédito e despesas de capital com ajustes/exceções.</x:v>
      </x:c>
      <x:c r="G11" s="101" t="str">
        <x:v>LOA, anexos e demonstrativo da regra de ouro</x:v>
      </x:c>
      <x:c r="H11" s="101" t="str">
        <x:v>Memória CF 167, III</x:v>
      </x:c>
      <x:c r="I11" s="104" t="str">
        <x:v>Pendente</x:v>
      </x:c>
      <x:c r="J11" s="104" t="str">
        <x:v>Preencher</x:v>
      </x:c>
      <x:c r="K11" s="104" t="str">
        <x:v>Preencher</x:v>
      </x:c>
    </x:row>
    <x:row r="12" ht="64" customHeight="1">
      <x:c r="A12" s="101" t="str">
        <x:v>REC-04</x:v>
      </x:c>
      <x:c r="B12" s="101" t="str">
        <x:v>Estimativa</x:v>
      </x:c>
      <x:c r="C12" s="101" t="str">
        <x:v>IDEA 186.9.359764/2025</x:v>
      </x:c>
      <x:c r="D12" s="101" t="str">
        <x:v>Tapiramutá / Mundo Novo</x:v>
      </x:c>
      <x:c r="E12" s="101" t="str">
        <x:v>Art. 12, § 3º, e método da LDO</x:v>
      </x:c>
      <x:c r="F12" s="101" t="str">
        <x:v>Confirmar protocolo 30 dias antes e correspondência das memórias.</x:v>
      </x:c>
      <x:c r="G12" s="101" t="str">
        <x:v>Protocolo, estudos, memórias, LDO e PLOA</x:v>
      </x:c>
      <x:c r="H12" s="101" t="str">
        <x:v>Linha do tempo e matriz</x:v>
      </x:c>
      <x:c r="I12" s="104" t="str">
        <x:v>Pendente</x:v>
      </x:c>
      <x:c r="J12" s="104" t="str">
        <x:v>Preencher</x:v>
      </x:c>
      <x:c r="K12" s="104" t="str">
        <x:v>Preencher</x:v>
      </x:c>
    </x:row>
    <x:row r="13" ht="64" customHeight="1">
      <x:c r="A13" s="101" t="str">
        <x:v>REC-05</x:v>
      </x:c>
      <x:c r="B13" s="101" t="str">
        <x:v>Estimativa</x:v>
      </x:c>
      <x:c r="C13" s="101" t="str">
        <x:v>IDEA 716.9.343592/2025</x:v>
      </x:c>
      <x:c r="D13" s="101" t="str">
        <x:v>Pintadas / Ipirá</x:v>
      </x:c>
      <x:c r="E13" s="101" t="str">
        <x:v>IDs 28255771–73 × parâmetros da LDO</x:v>
      </x:c>
      <x:c r="F13" s="101" t="str">
        <x:v>Transcrever parâmetro, localizar fórmula e reexecutar valor.</x:v>
      </x:c>
      <x:c r="G13" s="101" t="str">
        <x:v>IDs, LDO, planilhas-fonte e versões</x:v>
      </x:c>
      <x:c r="H13" s="101" t="str">
        <x:v>Matriz ID × dispositivo × fórmula</x:v>
      </x:c>
      <x:c r="I13" s="104" t="str">
        <x:v>Pendente</x:v>
      </x:c>
      <x:c r="J13" s="104" t="str">
        <x:v>Preencher</x:v>
      </x:c>
      <x:c r="K13" s="104" t="str">
        <x:v>Preencher</x:v>
      </x:c>
    </x:row>
    <x:row r="14" ht="64" customHeight="1">
      <x:c r="A14" s="101" t="str">
        <x:v>OC-01</x:v>
      </x:c>
      <x:c r="B14" s="101" t="str">
        <x:v>Operação de crédito</x:v>
      </x:c>
      <x:c r="C14" s="101" t="str">
        <x:v>IDEA 003.9.397880/2025 e 003.9.380381/2026</x:v>
      </x:c>
      <x:c r="D14" s="101" t="str">
        <x:v>Cairu</x:v>
      </x:c>
      <x:c r="E14" s="101" t="str">
        <x:v>Q1 — PPA/LDO/LOA e autorização</x:v>
      </x:c>
      <x:c r="F14" s="101" t="str">
        <x:v>Cruzar programa, ação, lei, objeto e cronograma; ajustar referência aos arts. 15–17.</x:v>
      </x:c>
      <x:c r="G14" s="101" t="str">
        <x:v>PPA, LDO, LOA, lei e projeto</x:v>
      </x:c>
      <x:c r="H14" s="101" t="str">
        <x:v>Quadro de compatibilidade</x:v>
      </x:c>
      <x:c r="I14" s="104" t="str">
        <x:v>Pendente</x:v>
      </x:c>
      <x:c r="J14" s="104" t="str">
        <x:v>Preencher</x:v>
      </x:c>
      <x:c r="K14" s="104" t="str">
        <x:v>Preencher</x:v>
      </x:c>
    </x:row>
    <x:row r="15" ht="64" customHeight="1">
      <x:c r="A15" s="101" t="str">
        <x:v>OC-02</x:v>
      </x:c>
      <x:c r="B15" s="101" t="str">
        <x:v>Operação de crédito</x:v>
      </x:c>
      <x:c r="C15" s="101" t="str">
        <x:v>Mesmos</x:v>
      </x:c>
      <x:c r="D15" s="101" t="str">
        <x:v>Cairu</x:v>
      </x:c>
      <x:c r="E15" s="101" t="str">
        <x:v>Q2 — limites de endividamento</x:v>
      </x:c>
      <x:c r="F15" s="101" t="str">
        <x:v>Separar DCL/RCL 120%, contratação anual 16% e serviço 11,5%.</x:v>
      </x:c>
      <x:c r="G15" s="101" t="str">
        <x:v>RGF, RCL, DCL, CDP/SADIPEM e contratos</x:v>
      </x:c>
      <x:c r="H15" s="101" t="str">
        <x:v>Três testes de limite</x:v>
      </x:c>
      <x:c r="I15" s="104" t="str">
        <x:v>Pendente</x:v>
      </x:c>
      <x:c r="J15" s="104" t="str">
        <x:v>Preencher</x:v>
      </x:c>
      <x:c r="K15" s="104" t="str">
        <x:v>Preencher</x:v>
      </x:c>
    </x:row>
    <x:row r="16" ht="64" customHeight="1">
      <x:c r="A16" s="101" t="str">
        <x:v>OC-03</x:v>
      </x:c>
      <x:c r="B16" s="101" t="str">
        <x:v>Operação de crédito</x:v>
      </x:c>
      <x:c r="C16" s="101" t="str">
        <x:v>Mesmos</x:v>
      </x:c>
      <x:c r="D16" s="101" t="str">
        <x:v>Cairu</x:v>
      </x:c>
      <x:c r="E16" s="101" t="str">
        <x:v>Q3 — razão corrente 95%</x:v>
      </x:c>
      <x:c r="F16" s="101" t="str">
        <x:v>Recalcular despesas correntes/receitas correntes em 12 meses.</x:v>
      </x:c>
      <x:c r="G16" s="101" t="str">
        <x:v>Balancetes e memória dos ajustes</x:v>
      </x:c>
      <x:c r="H16" s="101" t="str">
        <x:v>Razão e gatilho CF 167-A</x:v>
      </x:c>
      <x:c r="I16" s="104" t="str">
        <x:v>Pendente</x:v>
      </x:c>
      <x:c r="J16" s="104" t="str">
        <x:v>Preencher</x:v>
      </x:c>
      <x:c r="K16" s="104" t="str">
        <x:v>Preencher</x:v>
      </x:c>
    </x:row>
    <x:row r="17" ht="64" customHeight="1">
      <x:c r="A17" s="101" t="str">
        <x:v>OC-04</x:v>
      </x:c>
      <x:c r="B17" s="101" t="str">
        <x:v>Operação de crédito</x:v>
      </x:c>
      <x:c r="C17" s="101" t="str">
        <x:v>Mesmos</x:v>
      </x:c>
      <x:c r="D17" s="101" t="str">
        <x:v>Cairu</x:v>
      </x:c>
      <x:c r="E17" s="101" t="str">
        <x:v>Q4 — margem para o serviço</x:v>
      </x:c>
      <x:c r="F17" s="101" t="str">
        <x:v>Projetar dívida, caixa/RCL e cenários de estresse.</x:v>
      </x:c>
      <x:c r="G17" s="101" t="str">
        <x:v>Fluxo, cronograma, RCL, RP e obrigações</x:v>
      </x:c>
      <x:c r="H17" s="101" t="str">
        <x:v>Cobertura base e estressada</x:v>
      </x:c>
      <x:c r="I17" s="104" t="str">
        <x:v>Pendente</x:v>
      </x:c>
      <x:c r="J17" s="104" t="str">
        <x:v>Preencher</x:v>
      </x:c>
      <x:c r="K17" s="104" t="str">
        <x:v>Preencher</x:v>
      </x:c>
    </x:row>
    <x:row r="18" ht="64" customHeight="1">
      <x:c r="A18" s="101" t="str">
        <x:v>OC-05</x:v>
      </x:c>
      <x:c r="B18" s="101" t="str">
        <x:v>Operação de crédito</x:v>
      </x:c>
      <x:c r="C18" s="101" t="str">
        <x:v>Mesmos</x:v>
      </x:c>
      <x:c r="D18" s="101" t="str">
        <x:v>Cairu</x:v>
      </x:c>
      <x:c r="E18" s="101" t="str">
        <x:v>Q5 — recomposição/aumento de receita</x:v>
      </x:c>
      <x:c r="F18" s="101" t="str">
        <x:v>Separar realizado, estimativa e receita permanente; reexecutar fatores.</x:v>
      </x:c>
      <x:c r="G18" s="101" t="str">
        <x:v>Leis, bases, cadastro, arrecadação e notas</x:v>
      </x:c>
      <x:c r="H18" s="101" t="str">
        <x:v>Ponte histórica × medida nova</x:v>
      </x:c>
      <x:c r="I18" s="104" t="str">
        <x:v>Pendente</x:v>
      </x:c>
      <x:c r="J18" s="104" t="str">
        <x:v>Preencher</x:v>
      </x:c>
      <x:c r="K18" s="104" t="str">
        <x:v>Preencher</x:v>
      </x:c>
    </x:row>
    <x:row r="19" ht="64" customHeight="1">
      <x:c r="A19" s="101" t="str">
        <x:v>OC-06</x:v>
      </x:c>
      <x:c r="B19" s="101" t="str">
        <x:v>Operação de crédito</x:v>
      </x:c>
      <x:c r="C19" s="101" t="str">
        <x:v>Mesmos</x:v>
      </x:c>
      <x:c r="D19" s="101" t="str">
        <x:v>Cairu</x:v>
      </x:c>
      <x:c r="E19" s="101" t="str">
        <x:v>Q6 — condição para novo desembolso</x:v>
      </x:c>
      <x:c r="F19" s="101" t="str">
        <x:v>Vincular parcela, ingresso, conta, execução física e publicação.</x:v>
      </x:c>
      <x:c r="G19" s="101" t="str">
        <x:v>Contrato, extrato, prestação, medição e publicação</x:v>
      </x:c>
      <x:c r="H19" s="101" t="str">
        <x:v>Trilha por parcela</x:v>
      </x:c>
      <x:c r="I19" s="104" t="str">
        <x:v>Pendente</x:v>
      </x:c>
      <x:c r="J19" s="104" t="str">
        <x:v>Preencher</x:v>
      </x:c>
      <x:c r="K19" s="104" t="str">
        <x:v>Preencher</x:v>
      </x:c>
    </x:row>
    <x:row r="20" ht="64" customHeight="1">
      <x:c r="A20" s="101" t="str">
        <x:v>OC-07</x:v>
      </x:c>
      <x:c r="B20" s="101" t="str">
        <x:v>Operação de crédito</x:v>
      </x:c>
      <x:c r="C20" s="101" t="str">
        <x:v>Mesmos</x:v>
      </x:c>
      <x:c r="D20" s="101" t="str">
        <x:v>Cairu</x:v>
      </x:c>
      <x:c r="E20" s="101" t="str">
        <x:v>Q7 — SIAFIC</x:v>
      </x:c>
      <x:c r="F20" s="101" t="str">
        <x:v>Testar unicidade, tempestividade, trilha e conciliação.</x:v>
      </x:c>
      <x:c r="G20" s="101" t="str">
        <x:v>Configuração, razão, logs, MSC e extratos</x:v>
      </x:c>
      <x:c r="H20" s="101" t="str">
        <x:v>Checklist SIAFIC</x:v>
      </x:c>
      <x:c r="I20" s="104" t="str">
        <x:v>Pendente</x:v>
      </x:c>
      <x:c r="J20" s="104" t="str">
        <x:v>Preencher</x:v>
      </x:c>
      <x:c r="K20" s="104" t="str">
        <x:v>Preencher</x:v>
      </x:c>
    </x:row>
    <x:row r="21" ht="64" customHeight="1">
      <x:c r="A21" s="101" t="str">
        <x:v>OC-08</x:v>
      </x:c>
      <x:c r="B21" s="101" t="str">
        <x:v>Operação de crédito</x:v>
      </x:c>
      <x:c r="C21" s="101" t="str">
        <x:v>Mesmos</x:v>
      </x:c>
      <x:c r="D21" s="101" t="str">
        <x:v>Cairu</x:v>
      </x:c>
      <x:c r="E21" s="101" t="str">
        <x:v>Q8 — viabilidade</x:v>
      </x:c>
      <x:c r="F21" s="101" t="str">
        <x:v>Examinar maturidade, custo total, benefícios, riscos e manutenção.</x:v>
      </x:c>
      <x:c r="G21" s="101" t="str">
        <x:v>Projeto, orçamento, cronograma, estudos e licenças</x:v>
      </x:c>
      <x:c r="H21" s="101" t="str">
        <x:v>Matriz de viabilidade</x:v>
      </x:c>
      <x:c r="I21" s="104" t="str">
        <x:v>Pendente</x:v>
      </x:c>
      <x:c r="J21" s="104" t="str">
        <x:v>Preencher</x:v>
      </x:c>
      <x:c r="K21" s="104" t="str">
        <x:v>Preencher</x:v>
      </x:c>
    </x:row>
    <x:row r="22" ht="64" customHeight="1">
      <x:c r="A22" s="101" t="str">
        <x:v>OC-09</x:v>
      </x:c>
      <x:c r="B22" s="101" t="str">
        <x:v>Operação de crédito</x:v>
      </x:c>
      <x:c r="C22" s="101" t="str">
        <x:v>Mesmos</x:v>
      </x:c>
      <x:c r="D22" s="101" t="str">
        <x:v>Cairu</x:v>
      </x:c>
      <x:c r="E22" s="101" t="str">
        <x:v>Q9 — sustentabilidade fiscal</x:v>
      </x:c>
      <x:c r="F22" s="101" t="str">
        <x:v>Integrar metas, DCL/RCL, 16%, 11,5%, regra de ouro, caixa e CAPAG.</x:v>
      </x:c>
      <x:c r="G22" s="101" t="str">
        <x:v>AMF, RREO/RGF, CAPAG, PVL e cenários</x:v>
      </x:c>
      <x:c r="H22" s="101" t="str">
        <x:v>Painel de sustentabilidade</x:v>
      </x:c>
      <x:c r="I22" s="104" t="str">
        <x:v>Pendente</x:v>
      </x:c>
      <x:c r="J22" s="104" t="str">
        <x:v>Preencher</x:v>
      </x:c>
      <x:c r="K22" s="104" t="str">
        <x:v>Preencher</x:v>
      </x:c>
    </x:row>
    <x:row r="23" ht="64" customHeight="1">
      <x:c r="A23" s="101" t="str">
        <x:v>FIN-01</x:v>
      </x:c>
      <x:c r="B23" s="101" t="str">
        <x:v>Operação de crédito</x:v>
      </x:c>
      <x:c r="C23" s="101" t="str">
        <x:v>IDEA 705.9.154282/2019</x:v>
      </x:c>
      <x:c r="D23" s="101" t="str">
        <x:v>Paulo Afonso — FINISA</x:v>
      </x:c>
      <x:c r="E23" s="101" t="str">
        <x:v>I — autorização e contratação</x:v>
      </x:c>
      <x:c r="F23" s="101" t="str">
        <x:v>Comparar autorização, objeto, valores, limites, condições e publicação.</x:v>
      </x:c>
      <x:c r="G23" s="101" t="str">
        <x:v>Leis, instrumentos, contratos, PVL e pareceres</x:v>
      </x:c>
      <x:c r="H23" s="101" t="str">
        <x:v>Checklist por contrato</x:v>
      </x:c>
      <x:c r="I23" s="104" t="str">
        <x:v>Pendente</x:v>
      </x:c>
      <x:c r="J23" s="104" t="str">
        <x:v>Preencher</x:v>
      </x:c>
      <x:c r="K23" s="104" t="str">
        <x:v>Preencher</x:v>
      </x:c>
    </x:row>
    <x:row r="24" ht="64" customHeight="1">
      <x:c r="A24" s="101" t="str">
        <x:v>FIN-02</x:v>
      </x:c>
      <x:c r="B24" s="101" t="str">
        <x:v>Operação de crédito</x:v>
      </x:c>
      <x:c r="C24" s="101" t="str">
        <x:v>IDEA 705.9.154282/2019</x:v>
      </x:c>
      <x:c r="D24" s="101" t="str">
        <x:v>Paulo Afonso — FINISA</x:v>
      </x:c>
      <x:c r="E24" s="101" t="str">
        <x:v>II — recebimento</x:v>
      </x:c>
      <x:c r="F24" s="101" t="str">
        <x:v>Conciliar parcela, banco, receita, fonte e saldo.</x:v>
      </x:c>
      <x:c r="G24" s="101" t="str">
        <x:v>Extratos, avisos, razão e balancetes</x:v>
      </x:c>
      <x:c r="H24" s="101" t="str">
        <x:v>Conciliação por desembolso</x:v>
      </x:c>
      <x:c r="I24" s="104" t="str">
        <x:v>Pendente</x:v>
      </x:c>
      <x:c r="J24" s="104" t="str">
        <x:v>Preencher</x:v>
      </x:c>
      <x:c r="K24" s="104" t="str">
        <x:v>Preencher</x:v>
      </x:c>
    </x:row>
    <x:row r="25" ht="64" customHeight="1">
      <x:c r="A25" s="101" t="str">
        <x:v>FIN-03</x:v>
      </x:c>
      <x:c r="B25" s="101" t="str">
        <x:v>Operação de crédito</x:v>
      </x:c>
      <x:c r="C25" s="101" t="str">
        <x:v>IDEA 705.9.154282/2019</x:v>
      </x:c>
      <x:c r="D25" s="101" t="str">
        <x:v>Paulo Afonso — FINISA</x:v>
      </x:c>
      <x:c r="E25" s="101" t="str">
        <x:v>III — pagamentos</x:v>
      </x:c>
      <x:c r="F25" s="101" t="str">
        <x:v>Comparar cronograma contratual com execução por data/parcela.</x:v>
      </x:c>
      <x:c r="G25" s="101" t="str">
        <x:v>Cronograma, empenhos, ordens e extratos</x:v>
      </x:c>
      <x:c r="H25" s="101" t="str">
        <x:v>Execução e exceções</x:v>
      </x:c>
      <x:c r="I25" s="104" t="str">
        <x:v>Pendente</x:v>
      </x:c>
      <x:c r="J25" s="104" t="str">
        <x:v>Preencher</x:v>
      </x:c>
      <x:c r="K25" s="104" t="str">
        <x:v>Preencher</x:v>
      </x:c>
    </x:row>
    <x:row r="26" ht="64" customHeight="1">
      <x:c r="A26" s="101" t="str">
        <x:v>FIN-04</x:v>
      </x:c>
      <x:c r="B26" s="101" t="str">
        <x:v>Operação de crédito</x:v>
      </x:c>
      <x:c r="C26" s="101" t="str">
        <x:v>IDEA 705.9.154282/2019</x:v>
      </x:c>
      <x:c r="D26" s="101" t="str">
        <x:v>Paulo Afonso — FINISA</x:v>
      </x:c>
      <x:c r="E26" s="101" t="str">
        <x:v>IV — principal, juros e tarifas</x:v>
      </x:c>
      <x:c r="F26" s="101" t="str">
        <x:v>Classificar componentes e reconciliar saldo devedor sem dupla contagem.</x:v>
      </x:c>
      <x:c r="G26" s="101" t="str">
        <x:v>Planilhas bancárias, razão e extratos</x:v>
      </x:c>
      <x:c r="H26" s="101" t="str">
        <x:v>Tabela por componente</x:v>
      </x:c>
      <x:c r="I26" s="104" t="str">
        <x:v>Pendente</x:v>
      </x:c>
      <x:c r="J26" s="104" t="str">
        <x:v>Preencher</x:v>
      </x:c>
      <x:c r="K26" s="104" t="str">
        <x:v>Preencher</x:v>
      </x:c>
    </x:row>
    <x:row r="27" ht="64" customHeight="1">
      <x:c r="A27" s="101" t="str">
        <x:v>FIN-05</x:v>
      </x:c>
      <x:c r="B27" s="101" t="str">
        <x:v>Operação de crédito</x:v>
      </x:c>
      <x:c r="C27" s="101" t="str">
        <x:v>IDEA 705.9.154282/2019</x:v>
      </x:c>
      <x:c r="D27" s="101" t="str">
        <x:v>Paulo Afonso — FINISA</x:v>
      </x:c>
      <x:c r="E27" s="101" t="str">
        <x:v>V — aplicação dos recursos</x:v>
      </x:c>
      <x:c r="F27" s="101" t="str">
        <x:v>Rastrear crédito até pagamento e ativo/etapa física.</x:v>
      </x:c>
      <x:c r="G27" s="101" t="str">
        <x:v>Conta, processos, obras/bens, medições e patrimônio</x:v>
      </x:c>
      <x:c r="H27" s="101" t="str">
        <x:v>Mapa de rastreabilidade</x:v>
      </x:c>
      <x:c r="I27" s="104" t="str">
        <x:v>Pendente</x:v>
      </x:c>
      <x:c r="J27" s="104" t="str">
        <x:v>Preencher</x:v>
      </x:c>
      <x:c r="K27" s="104" t="str">
        <x:v>Preencher</x:v>
      </x:c>
    </x:row>
    <x:row r="28" ht="64" customHeight="1">
      <x:c r="A28" s="101" t="str">
        <x:v>M6-01</x:v>
      </x:c>
      <x:c r="B28" s="101" t="str">
        <x:v>Módulo 06</x:v>
      </x:c>
      <x:c r="C28" s="101" t="str">
        <x:v>IDEA 003.9.390644/2025</x:v>
      </x:c>
      <x:c r="D28" s="101" t="str">
        <x:v>Gongogi / Ubaitaba</x:v>
      </x:c>
      <x:c r="E28" s="101" t="str">
        <x:v>Q1 — falhas formais/materiais</x:v>
      </x:c>
      <x:c r="F28" s="101" t="str">
        <x:v>Aplicar no M06 teste de autorização, recurso, justificativa, publicação e registro.</x:v>
      </x:c>
      <x:c r="G28" s="101" t="str">
        <x:v>LOA, leis, decretos, QDD e razão</x:v>
      </x:c>
      <x:c r="H28" s="101" t="str">
        <x:v>Matriz por ato</x:v>
      </x:c>
      <x:c r="I28" s="104" t="str">
        <x:v>Pendente</x:v>
      </x:c>
      <x:c r="J28" s="104" t="str">
        <x:v>Preencher</x:v>
      </x:c>
      <x:c r="K28" s="104" t="str">
        <x:v>Preencher</x:v>
      </x:c>
    </x:row>
    <x:row r="29" ht="64" customHeight="1">
      <x:c r="A29" s="101" t="str">
        <x:v>M6-02</x:v>
      </x:c>
      <x:c r="B29" s="101" t="str">
        <x:v>Módulo 06</x:v>
      </x:c>
      <x:c r="C29" s="101" t="str">
        <x:v>IDEA 003.9.390644/2025</x:v>
      </x:c>
      <x:c r="D29" s="101" t="str">
        <x:v>Gongogi / Ubaitaba</x:v>
      </x:c>
      <x:c r="E29" s="101" t="str">
        <x:v>Q2 — limite da LOA</x:v>
      </x:c>
      <x:c r="F29" s="101" t="str">
        <x:v>Reconstituir limite vigente e consumo por anulação em cada data.</x:v>
      </x:c>
      <x:c r="G29" s="101" t="str">
        <x:v>LOA, leis modificativas, atos e execução</x:v>
      </x:c>
      <x:c r="H29" s="101" t="str">
        <x:v>Linha do tempo e primeiro excesso</x:v>
      </x:c>
      <x:c r="I29" s="104" t="str">
        <x:v>Pendente</x:v>
      </x:c>
      <x:c r="J29" s="104" t="str">
        <x:v>Preencher</x:v>
      </x:c>
      <x:c r="K29" s="104" t="str">
        <x:v>Preencher</x:v>
      </x:c>
    </x:row>
    <x:row r="30" ht="64" customHeight="1">
      <x:c r="A30" s="101" t="str">
        <x:v>M6-03</x:v>
      </x:c>
      <x:c r="B30" s="101" t="str">
        <x:v>Módulo 06</x:v>
      </x:c>
      <x:c r="C30" s="101" t="str">
        <x:v>IDEA 003.9.390644/2025</x:v>
      </x:c>
      <x:c r="D30" s="101" t="str">
        <x:v>Gongogi / Ubaitaba</x:v>
      </x:c>
      <x:c r="E30" s="101" t="str">
        <x:v>Q3 — possível fragmentação</x:v>
      </x:c>
      <x:c r="F30" s="101" t="str">
        <x:v>Agrupar atos/despesas por objeto, período, ação e finalidade.</x:v>
      </x:c>
      <x:c r="G30" s="101" t="str">
        <x:v>Decretos, dotações, compras, datas e fornecedores</x:v>
      </x:c>
      <x:c r="H30" s="101" t="str">
        <x:v>Análise de substância</x:v>
      </x:c>
      <x:c r="I30" s="104" t="str">
        <x:v>Pendente</x:v>
      </x:c>
      <x:c r="J30" s="104" t="str">
        <x:v>Preencher</x:v>
      </x:c>
      <x:c r="K30" s="104" t="str">
        <x:v>Preencher</x:v>
      </x:c>
    </x:row>
    <x:row r="31" ht="64" customHeight="1">
      <x:c r="A31" s="101" t="str">
        <x:v>M6-04</x:v>
      </x:c>
      <x:c r="B31" s="101" t="str">
        <x:v>Módulo 06</x:v>
      </x:c>
      <x:c r="C31" s="101" t="str">
        <x:v>IDEA 003.9.390644/2025</x:v>
      </x:c>
      <x:c r="D31" s="101" t="str">
        <x:v>Gongogi / Ubaitaba</x:v>
      </x:c>
      <x:c r="E31" s="101" t="str">
        <x:v>Q4 — transparência e controle</x:v>
      </x:c>
      <x:c r="F31" s="101" t="str">
        <x:v>Conferir autorização, tempestividade e correspondência com contabilidade.</x:v>
      </x:c>
      <x:c r="G31" s="101" t="str">
        <x:v>Diário, Portal, Câmara, relatórios e sistema</x:v>
      </x:c>
      <x:c r="H31" s="101" t="str">
        <x:v>Checklist de publicidade</x:v>
      </x:c>
      <x:c r="I31" s="104" t="str">
        <x:v>Pendente</x:v>
      </x:c>
      <x:c r="J31" s="104" t="str">
        <x:v>Preencher</x:v>
      </x:c>
      <x:c r="K31" s="104" t="str">
        <x:v>Preencher</x:v>
      </x:c>
    </x:row>
    <x:row r="32">
      <x:c r="A32" s="97"/>
      <x:c r="B32" s="97"/>
      <x:c r="C32" s="97"/>
      <x:c r="D32" s="97"/>
      <x:c r="E32" s="97"/>
      <x:c r="F32" s="97"/>
      <x:c r="G32" s="97"/>
      <x:c r="H32" s="97"/>
      <x:c r="I32" s="97"/>
      <x:c r="J32" s="97"/>
      <x:c r="K32" s="97"/>
    </x:row>
    <x:row r="33">
      <x:c r="A33" s="97"/>
      <x:c r="B33" s="97"/>
      <x:c r="C33" s="97"/>
      <x:c r="D33" s="97"/>
      <x:c r="E33" s="97"/>
      <x:c r="F33" s="97"/>
      <x:c r="G33" s="97"/>
      <x:c r="H33" s="97"/>
      <x:c r="I33" s="97"/>
      <x:c r="J33" s="97"/>
      <x:c r="K33" s="97"/>
    </x:row>
    <x:row r="34">
      <x:c r="A34" s="109" t="str">
        <x:v>Nota técnica: os itens de operação de crédito exigem evidências além da estimativa de receita. Diferencie: (a) estoque da DCL/RCL — RSF nº 40/2001; (b) contratação anual e serviço — RSF nº 43/2001; (c) regra de ouro — CF, art. 167, III; (d) gatilho de 95% — CF, art. 167-A; e (e) análise de PVL, CDP, CAPAG, contrato e aplicação. Os quatro itens de Gongogi são executados no Módulo 06.</x:v>
      </x:c>
      <x:c r="B34" s="109"/>
      <x:c r="C34" s="109"/>
      <x:c r="D34" s="109"/>
      <x:c r="E34" s="109"/>
      <x:c r="F34" s="109"/>
      <x:c r="G34" s="109"/>
      <x:c r="H34" s="109"/>
      <x:c r="I34" s="109"/>
      <x:c r="J34" s="109"/>
      <x:c r="K34" s="109"/>
    </x:row>
    <x:row r="35">
      <x:c r="A35" s="109"/>
      <x:c r="B35" s="109"/>
      <x:c r="C35" s="109"/>
      <x:c r="D35" s="109"/>
      <x:c r="E35" s="109"/>
      <x:c r="F35" s="109"/>
      <x:c r="G35" s="109"/>
      <x:c r="H35" s="109"/>
      <x:c r="I35" s="109"/>
      <x:c r="J35" s="109"/>
      <x:c r="K35" s="109"/>
    </x:row>
    <x:row r="36">
      <x:c r="A36" s="109"/>
      <x:c r="B36" s="109"/>
      <x:c r="C36" s="109"/>
      <x:c r="D36" s="109"/>
      <x:c r="E36" s="109"/>
      <x:c r="F36" s="109"/>
      <x:c r="G36" s="109"/>
      <x:c r="H36" s="109"/>
      <x:c r="I36" s="109"/>
      <x:c r="J36" s="109"/>
      <x:c r="K36" s="109"/>
    </x:row>
    <x:row r="37">
      <x:c r="A37" s="109"/>
      <x:c r="B37" s="109"/>
      <x:c r="C37" s="109"/>
      <x:c r="D37" s="109"/>
      <x:c r="E37" s="109"/>
      <x:c r="F37" s="109"/>
      <x:c r="G37" s="109"/>
      <x:c r="H37" s="109"/>
      <x:c r="I37" s="109"/>
      <x:c r="J37" s="109"/>
      <x:c r="K37" s="109"/>
    </x:row>
  </x:sheetData>
  <x:mergeCells>
    <x:mergeCell ref="A1:K2"/>
    <x:mergeCell ref="A3:K3"/>
    <x:mergeCell ref="A34:K37"/>
  </x:mergeCells>
  <x:dataValidations count="1">
    <x:dataValidation type="list" sqref="I6:I31">
      <x:formula1>"Pendente,Conforme,Parcial,Não conforme,Inconclusivo,Não aplicável"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32" hidden="0" customWidth="1"/>
    <x:col min="3" max="3" width="4" hidden="0" customWidth="1"/>
    <x:col min="4" max="4" width="24" hidden="0" customWidth="1"/>
    <x:col min="5" max="5" width="2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6" customHeight="1">
      <x:c r="A1" s="5" t="str">
        <x:v>Relatório conclusivo — avaliação da receita</x:v>
      </x:c>
      <x:c r="B1" s="5" t="str">
        <x:v>Relatório conclusivo — avaliação da receita</x:v>
      </x:c>
      <x:c r="C1" s="5" t="str">
        <x:v>Relatório conclusivo — avaliação da receita</x:v>
      </x:c>
      <x:c r="D1" s="5" t="str">
        <x:v>Relatório conclusivo — avaliação da receita</x:v>
      </x:c>
      <x:c r="E1" s="5" t="str">
        <x:v>Relatório conclusivo — avaliação da receita</x:v>
      </x:c>
      <x:c r="F1" s="5" t="str">
        <x:v>Relatório conclusivo — avaliação da receita</x:v>
      </x:c>
      <x:c r="G1" s="5" t="str">
        <x:v>Relatório conclusivo — avaliação da receita</x:v>
      </x:c>
      <x:c r="H1" s="5" t="str">
        <x:v>Relatório conclusivo — avaliação da receita</x:v>
      </x:c>
    </x:row>
    <x:row r="2" ht="36" customHeight="1">
      <x:c r="A2" s="5" t="str">
        <x:v>Relatório conclusivo — avaliação da receita</x:v>
      </x:c>
      <x:c r="B2" s="5" t="str">
        <x:v>Relatório conclusivo — avaliação da receita</x:v>
      </x:c>
      <x:c r="C2" s="5" t="str">
        <x:v>Relatório conclusivo — avaliação da receita</x:v>
      </x:c>
      <x:c r="D2" s="5" t="str">
        <x:v>Relatório conclusivo — avaliação da receita</x:v>
      </x:c>
      <x:c r="E2" s="5" t="str">
        <x:v>Relatório conclusivo — avaliação da receita</x:v>
      </x:c>
      <x:c r="F2" s="5" t="str">
        <x:v>Relatório conclusivo — avaliação da receita</x:v>
      </x:c>
      <x:c r="G2" s="5" t="str">
        <x:v>Relatório conclusivo — avaliação da receita</x:v>
      </x:c>
      <x:c r="H2" s="5" t="str">
        <x:v>Relatório conclusivo — avaliação da receita</x:v>
      </x:c>
    </x:row>
    <x:row r="3" ht="30" customHeight="1">
      <x:c r="A3" s="8" t="str">
        <x:v>Modelo editável. Copie as respostas da matriz CEAT e preserve a referência exata de cada evidência.</x:v>
      </x:c>
      <x:c r="B3" s="8" t="str">
        <x:v>Modelo editável. Copie as respostas da matriz CEAT e preserve a referência exata de cada evidência.</x:v>
      </x:c>
      <x:c r="C3" s="8" t="str">
        <x:v>Modelo editável. Copie as respostas da matriz CEAT e preserve a referência exata de cada evidência.</x:v>
      </x:c>
      <x:c r="D3" s="8" t="str">
        <x:v>Modelo editável. Copie as respostas da matriz CEAT e preserve a referência exata de cada evidência.</x:v>
      </x:c>
      <x:c r="E3" s="8" t="str">
        <x:v>Modelo editável. Copie as respostas da matriz CEAT e preserve a referência exata de cada evidência.</x:v>
      </x:c>
      <x:c r="F3" s="8" t="str">
        <x:v>Modelo editável. Copie as respostas da matriz CEAT e preserve a referência exata de cada evidência.</x:v>
      </x:c>
      <x:c r="G3" s="8" t="str">
        <x:v>Modelo editável. Copie as respostas da matriz CEAT e preserve a referência exata de cada evidência.</x:v>
      </x:c>
      <x:c r="H3" s="8" t="str">
        <x:v>Modelo editável. Copie as respostas da matriz CEAT e preserve a referência exata de cada evidência.</x:v>
      </x:c>
    </x:row>
    <x:row r="4">
      <x:c r="A4" s="97"/>
      <x:c r="B4" s="97"/>
      <x:c r="C4" s="97"/>
      <x:c r="D4" s="97"/>
      <x:c r="E4" s="97"/>
      <x:c r="F4" s="97"/>
      <x:c r="G4" s="97"/>
      <x:c r="H4" s="97"/>
    </x:row>
    <x:row r="5">
      <x:c r="A5" s="39" t="str">
        <x:v>Processo</x:v>
      </x:c>
      <x:c r="B5" s="106" t="str">
        <x:v>Preencher</x:v>
      </x:c>
      <x:c r="C5" s="97"/>
      <x:c r="D5" s="39" t="str">
        <x:v>Conforme</x:v>
      </x:c>
      <x:c r="E5" s="98" t="n">
        <x:f>COUNTIF(Conformidade!E6:E21,"Conforme")</x:f>
        <x:v>0</x:v>
      </x:c>
      <x:c r="F5" s="97"/>
      <x:c r="G5" s="97"/>
      <x:c r="H5" s="97"/>
    </x:row>
    <x:row r="6">
      <x:c r="A6" s="39" t="str">
        <x:v>Ente</x:v>
      </x:c>
      <x:c r="B6" s="106" t="str">
        <x:v>Preencher</x:v>
      </x:c>
      <x:c r="C6" s="97"/>
      <x:c r="D6" s="39" t="str">
        <x:v>Parcial</x:v>
      </x:c>
      <x:c r="E6" s="98" t="n">
        <x:f>COUNTIF(Conformidade!E6:E21,"Parcial")</x:f>
        <x:v>0</x:v>
      </x:c>
      <x:c r="F6" s="97"/>
      <x:c r="G6" s="97"/>
      <x:c r="H6" s="97"/>
    </x:row>
    <x:row r="7">
      <x:c r="A7" s="39" t="str">
        <x:v>Exercício</x:v>
      </x:c>
      <x:c r="B7" s="106" t="n">
        <x:v>2026</x:v>
      </x:c>
      <x:c r="C7" s="97"/>
      <x:c r="D7" s="39" t="str">
        <x:v>Não conforme</x:v>
      </x:c>
      <x:c r="E7" s="98" t="n">
        <x:f>COUNTIF(Conformidade!E6:E21,"Não conforme")</x:f>
        <x:v>0</x:v>
      </x:c>
      <x:c r="F7" s="97"/>
      <x:c r="G7" s="97"/>
      <x:c r="H7" s="97"/>
    </x:row>
    <x:row r="8">
      <x:c r="A8" s="39" t="str">
        <x:v>Analista</x:v>
      </x:c>
      <x:c r="B8" s="106" t="str">
        <x:v>Preencher</x:v>
      </x:c>
      <x:c r="C8" s="97"/>
      <x:c r="D8" s="39" t="str">
        <x:v>Pendente</x:v>
      </x:c>
      <x:c r="E8" s="98" t="n">
        <x:f>COUNTIF(Conformidade!E6:E21,"Pendente")</x:f>
        <x:v>16</x:v>
      </x:c>
      <x:c r="F8" s="97"/>
      <x:c r="G8" s="97"/>
      <x:c r="H8" s="97"/>
    </x:row>
    <x:row r="9">
      <x:c r="A9" s="39" t="str">
        <x:v>Revisor</x:v>
      </x:c>
      <x:c r="B9" s="106" t="str">
        <x:v>Preencher</x:v>
      </x:c>
      <x:c r="C9" s="97"/>
      <x:c r="D9" s="39" t="str">
        <x:v>Quesitos concluídos</x:v>
      </x:c>
      <x:c r="E9" s="98" t="n">
        <x:f>COUNTIF(Demandas_CEAT!I6:I31,"&lt;&gt;Pendente")</x:f>
        <x:v>0</x:v>
      </x:c>
      <x:c r="F9" s="97"/>
      <x:c r="G9" s="97"/>
      <x:c r="H9" s="97"/>
    </x:row>
    <x:row r="10">
      <x:c r="A10" s="39" t="str">
        <x:v>Data-base</x:v>
      </x:c>
      <x:c r="B10" s="106" t="str">
        <x:v>Preencher</x:v>
      </x:c>
      <x:c r="C10" s="97"/>
      <x:c r="D10" s="39" t="str">
        <x:v>Classificação sugerida</x:v>
      </x:c>
      <x:c r="E10" s="94" t="str">
        <x:f>Conformidade!J10</x:f>
        <x:v>Inconclusivo por pendências</x:v>
      </x:c>
      <x:c r="F10" s="97"/>
      <x:c r="G10" s="97"/>
      <x:c r="H10" s="97"/>
    </x:row>
    <x:row r="11">
      <x:c r="A11" s="97"/>
      <x:c r="B11" s="97"/>
      <x:c r="C11" s="97"/>
      <x:c r="D11" s="97"/>
      <x:c r="E11" s="97"/>
      <x:c r="F11" s="97"/>
      <x:c r="G11" s="97"/>
      <x:c r="H11" s="97"/>
    </x:row>
    <x:row r="12">
      <x:c r="A12" s="96" t="str">
        <x:v>1. Objeto e escopo</x:v>
      </x:c>
      <x:c r="B12" s="96"/>
      <x:c r="C12" s="96"/>
      <x:c r="D12" s="96"/>
      <x:c r="E12" s="96"/>
      <x:c r="F12" s="96"/>
      <x:c r="G12" s="96"/>
      <x:c r="H12" s="96"/>
    </x:row>
    <x:row r="13" ht="34" customHeight="1">
      <x:c r="A13" s="100" t="str">
        <x:v>Descrever o quesito, o período, a receita e os limites da análise.</x:v>
      </x:c>
      <x:c r="B13" s="100"/>
      <x:c r="C13" s="100"/>
      <x:c r="D13" s="100"/>
      <x:c r="E13" s="100"/>
      <x:c r="F13" s="100"/>
      <x:c r="G13" s="100"/>
      <x:c r="H13" s="100"/>
    </x:row>
    <x:row r="14" ht="34" customHeight="1">
      <x:c r="A14" s="100"/>
      <x:c r="B14" s="100"/>
      <x:c r="C14" s="100"/>
      <x:c r="D14" s="100"/>
      <x:c r="E14" s="100"/>
      <x:c r="F14" s="100"/>
      <x:c r="G14" s="100"/>
      <x:c r="H14" s="100"/>
    </x:row>
    <x:row r="15">
      <x:c r="A15" s="97"/>
      <x:c r="B15" s="97"/>
      <x:c r="C15" s="97"/>
      <x:c r="D15" s="97"/>
      <x:c r="E15" s="97"/>
      <x:c r="F15" s="97"/>
      <x:c r="G15" s="97"/>
      <x:c r="H15" s="97"/>
    </x:row>
    <x:row r="16">
      <x:c r="A16" s="96" t="str">
        <x:v>2. Documentos e critérios</x:v>
      </x:c>
      <x:c r="B16" s="96"/>
      <x:c r="C16" s="96"/>
      <x:c r="D16" s="96"/>
      <x:c r="E16" s="96"/>
      <x:c r="F16" s="96"/>
      <x:c r="G16" s="96"/>
      <x:c r="H16" s="96"/>
    </x:row>
    <x:row r="17" ht="34" customHeight="1">
      <x:c r="A17" s="100" t="str">
        <x:v>Relacionar documentos examinados, versões, páginas/linhas, LRF, MDF, LDO, Ementário, Portaria 710 e normas específicas.</x:v>
      </x:c>
      <x:c r="B17" s="100"/>
      <x:c r="C17" s="100"/>
      <x:c r="D17" s="100"/>
      <x:c r="E17" s="100"/>
      <x:c r="F17" s="100"/>
      <x:c r="G17" s="100"/>
      <x:c r="H17" s="100"/>
    </x:row>
    <x:row r="18" ht="34" customHeight="1">
      <x:c r="A18" s="100"/>
      <x:c r="B18" s="100"/>
      <x:c r="C18" s="100"/>
      <x:c r="D18" s="100"/>
      <x:c r="E18" s="100"/>
      <x:c r="F18" s="100"/>
      <x:c r="G18" s="100"/>
      <x:c r="H18" s="100"/>
    </x:row>
    <x:row r="19">
      <x:c r="A19" s="97"/>
      <x:c r="B19" s="97"/>
      <x:c r="C19" s="97"/>
      <x:c r="D19" s="97"/>
      <x:c r="E19" s="97"/>
      <x:c r="F19" s="97"/>
      <x:c r="G19" s="97"/>
      <x:c r="H19" s="97"/>
    </x:row>
    <x:row r="20">
      <x:c r="A20" s="96" t="str">
        <x:v>3. Metodologia verificada</x:v>
      </x:c>
      <x:c r="B20" s="96"/>
      <x:c r="C20" s="96"/>
      <x:c r="D20" s="96"/>
      <x:c r="E20" s="96"/>
      <x:c r="F20" s="96"/>
      <x:c r="G20" s="96"/>
      <x:c r="H20" s="96"/>
    </x:row>
    <x:row r="21" ht="34" customHeight="1">
      <x:c r="A21" s="100" t="str">
        <x:v>Resumir a série, ajustes, preço, quantidade, legislação, modelos testados, erro/sensibilidade e justificativa da escolha.</x:v>
      </x:c>
      <x:c r="B21" s="100"/>
      <x:c r="C21" s="100"/>
      <x:c r="D21" s="100"/>
      <x:c r="E21" s="100"/>
      <x:c r="F21" s="100"/>
      <x:c r="G21" s="100"/>
      <x:c r="H21" s="100"/>
    </x:row>
    <x:row r="22" ht="34" customHeight="1">
      <x:c r="A22" s="100"/>
      <x:c r="B22" s="100"/>
      <x:c r="C22" s="100"/>
      <x:c r="D22" s="100"/>
      <x:c r="E22" s="100"/>
      <x:c r="F22" s="100"/>
      <x:c r="G22" s="100"/>
      <x:c r="H22" s="100"/>
    </x:row>
    <x:row r="23">
      <x:c r="A23" s="97"/>
      <x:c r="B23" s="97"/>
      <x:c r="C23" s="97"/>
      <x:c r="D23" s="97"/>
      <x:c r="E23" s="97"/>
      <x:c r="F23" s="97"/>
      <x:c r="G23" s="97"/>
      <x:c r="H23" s="97"/>
    </x:row>
    <x:row r="24">
      <x:c r="A24" s="96" t="str">
        <x:v>4. Natureza e fonte</x:v>
      </x:c>
      <x:c r="B24" s="96"/>
      <x:c r="C24" s="96"/>
      <x:c r="D24" s="96"/>
      <x:c r="E24" s="96"/>
      <x:c r="F24" s="96"/>
      <x:c r="G24" s="96"/>
      <x:c r="H24" s="96"/>
    </x:row>
    <x:row r="25" ht="34" customHeight="1">
      <x:c r="A25" s="100" t="str">
        <x:v>Concluir separadamente sobre natureza, fonte/destinação, IE, CO, tabela do exercício e rastreabilidade na execução.</x:v>
      </x:c>
      <x:c r="B25" s="100"/>
      <x:c r="C25" s="100"/>
      <x:c r="D25" s="100"/>
      <x:c r="E25" s="100"/>
      <x:c r="F25" s="100"/>
      <x:c r="G25" s="100"/>
      <x:c r="H25" s="100"/>
    </x:row>
    <x:row r="26" ht="34" customHeight="1">
      <x:c r="A26" s="100"/>
      <x:c r="B26" s="100"/>
      <x:c r="C26" s="100"/>
      <x:c r="D26" s="100"/>
      <x:c r="E26" s="100"/>
      <x:c r="F26" s="100"/>
      <x:c r="G26" s="100"/>
      <x:c r="H26" s="100"/>
    </x:row>
    <x:row r="27">
      <x:c r="A27" s="97"/>
      <x:c r="B27" s="97"/>
      <x:c r="C27" s="97"/>
      <x:c r="D27" s="97"/>
      <x:c r="E27" s="97"/>
      <x:c r="F27" s="97"/>
      <x:c r="G27" s="97"/>
      <x:c r="H27" s="97"/>
    </x:row>
    <x:row r="28">
      <x:c r="A28" s="96" t="str">
        <x:v>5. Impacto fiscal</x:v>
      </x:c>
      <x:c r="B28" s="96"/>
      <x:c r="C28" s="96"/>
      <x:c r="D28" s="96"/>
      <x:c r="E28" s="96"/>
      <x:c r="F28" s="96"/>
      <x:c r="G28" s="96"/>
      <x:c r="H28" s="96"/>
    </x:row>
    <x:row r="29" ht="34" customHeight="1">
      <x:c r="A29" s="100" t="str">
        <x:v>Informar receita prevista/validada, superestimativa, resultado, meta, despesa compatível, limitação indicativa e teste dos arts. 15–17.</x:v>
      </x:c>
      <x:c r="B29" s="100"/>
      <x:c r="C29" s="100"/>
      <x:c r="D29" s="100"/>
      <x:c r="E29" s="100"/>
      <x:c r="F29" s="100"/>
      <x:c r="G29" s="100"/>
      <x:c r="H29" s="100"/>
    </x:row>
    <x:row r="30" ht="34" customHeight="1">
      <x:c r="A30" s="100"/>
      <x:c r="B30" s="100"/>
      <x:c r="C30" s="100"/>
      <x:c r="D30" s="100"/>
      <x:c r="E30" s="100"/>
      <x:c r="F30" s="100"/>
      <x:c r="G30" s="100"/>
      <x:c r="H30" s="100"/>
    </x:row>
    <x:row r="31">
      <x:c r="A31" s="97"/>
      <x:c r="B31" s="97"/>
      <x:c r="C31" s="97"/>
      <x:c r="D31" s="97"/>
      <x:c r="E31" s="97"/>
      <x:c r="F31" s="97"/>
      <x:c r="G31" s="97"/>
      <x:c r="H31" s="97"/>
    </x:row>
    <x:row r="32">
      <x:c r="A32" s="96" t="str">
        <x:v>6. Resposta por quesito</x:v>
      </x:c>
      <x:c r="B32" s="96"/>
      <x:c r="C32" s="96"/>
      <x:c r="D32" s="96"/>
      <x:c r="E32" s="96"/>
      <x:c r="F32" s="96"/>
      <x:c r="G32" s="96"/>
      <x:c r="H32" s="96"/>
    </x:row>
    <x:row r="33" ht="34" customHeight="1">
      <x:c r="A33" s="100" t="str">
        <x:v>Para cada item: resposta direta, critério, evidência, fórmula/valor, limitação, diligência e conclusão.</x:v>
      </x:c>
      <x:c r="B33" s="100"/>
      <x:c r="C33" s="100"/>
      <x:c r="D33" s="100"/>
      <x:c r="E33" s="100"/>
      <x:c r="F33" s="100"/>
      <x:c r="G33" s="100"/>
      <x:c r="H33" s="100"/>
    </x:row>
    <x:row r="34" ht="34" customHeight="1">
      <x:c r="A34" s="100"/>
      <x:c r="B34" s="100"/>
      <x:c r="C34" s="100"/>
      <x:c r="D34" s="100"/>
      <x:c r="E34" s="100"/>
      <x:c r="F34" s="100"/>
      <x:c r="G34" s="100"/>
      <x:c r="H34" s="100"/>
    </x:row>
    <x:row r="35">
      <x:c r="A35" s="97"/>
      <x:c r="B35" s="97"/>
      <x:c r="C35" s="97"/>
      <x:c r="D35" s="97"/>
      <x:c r="E35" s="97"/>
      <x:c r="F35" s="97"/>
      <x:c r="G35" s="97"/>
      <x:c r="H35" s="97"/>
    </x:row>
    <x:row r="36">
      <x:c r="A36" s="96" t="str">
        <x:v>7. Achados e limitações</x:v>
      </x:c>
      <x:c r="B36" s="96"/>
      <x:c r="C36" s="96"/>
      <x:c r="D36" s="96"/>
      <x:c r="E36" s="96"/>
      <x:c r="F36" s="96"/>
      <x:c r="G36" s="96"/>
      <x:c r="H36" s="96"/>
    </x:row>
    <x:row r="37" ht="34" customHeight="1">
      <x:c r="A37" s="100" t="str">
        <x:v>Separar condição comprovada, causa provável, efeito quantificado, documento ausente e alcance da análise.</x:v>
      </x:c>
      <x:c r="B37" s="100"/>
      <x:c r="C37" s="100"/>
      <x:c r="D37" s="100"/>
      <x:c r="E37" s="100"/>
      <x:c r="F37" s="100"/>
      <x:c r="G37" s="100"/>
      <x:c r="H37" s="100"/>
    </x:row>
    <x:row r="38" ht="34" customHeight="1">
      <x:c r="A38" s="100"/>
      <x:c r="B38" s="100"/>
      <x:c r="C38" s="100"/>
      <x:c r="D38" s="100"/>
      <x:c r="E38" s="100"/>
      <x:c r="F38" s="100"/>
      <x:c r="G38" s="100"/>
      <x:c r="H38" s="100"/>
    </x:row>
    <x:row r="39">
      <x:c r="A39" s="97"/>
      <x:c r="B39" s="97"/>
      <x:c r="C39" s="97"/>
      <x:c r="D39" s="97"/>
      <x:c r="E39" s="97"/>
      <x:c r="F39" s="97"/>
      <x:c r="G39" s="97"/>
      <x:c r="H39" s="97"/>
    </x:row>
    <x:row r="40">
      <x:c r="A40" s="96" t="str">
        <x:v>8. Recomendações</x:v>
      </x:c>
      <x:c r="B40" s="96"/>
      <x:c r="C40" s="96"/>
      <x:c r="D40" s="96"/>
      <x:c r="E40" s="96"/>
      <x:c r="F40" s="96"/>
      <x:c r="G40" s="96"/>
      <x:c r="H40" s="96"/>
    </x:row>
    <x:row r="41" ht="34" customHeight="1">
      <x:c r="A41" s="100" t="str">
        <x:v>Definir providência, responsável, prazo, documento esperado e reavaliação.</x:v>
      </x:c>
      <x:c r="B41" s="100"/>
      <x:c r="C41" s="100"/>
      <x:c r="D41" s="100"/>
      <x:c r="E41" s="100"/>
      <x:c r="F41" s="100"/>
      <x:c r="G41" s="100"/>
      <x:c r="H41" s="100"/>
    </x:row>
    <x:row r="42" ht="34" customHeight="1">
      <x:c r="A42" s="100"/>
      <x:c r="B42" s="100"/>
      <x:c r="C42" s="100"/>
      <x:c r="D42" s="100"/>
      <x:c r="E42" s="100"/>
      <x:c r="F42" s="100"/>
      <x:c r="G42" s="100"/>
      <x:c r="H42" s="100"/>
    </x:row>
    <x:row r="43">
      <x:c r="A43" s="97"/>
      <x:c r="B43" s="97"/>
      <x:c r="C43" s="97"/>
      <x:c r="D43" s="97"/>
      <x:c r="E43" s="97"/>
      <x:c r="F43" s="97"/>
      <x:c r="G43" s="97"/>
      <x:c r="H43" s="97"/>
    </x:row>
    <x:row r="44">
      <x:c r="A44" s="96" t="str">
        <x:v>9. Conclusão</x:v>
      </x:c>
      <x:c r="B44" s="96"/>
      <x:c r="C44" s="96"/>
      <x:c r="D44" s="96"/>
      <x:c r="E44" s="96"/>
      <x:c r="F44" s="96"/>
      <x:c r="G44" s="96"/>
      <x:c r="H44" s="96"/>
    </x:row>
    <x:row r="45" ht="34" customHeight="1">
      <x:c r="A45" s="100" t="str">
        <x:v>Escolher: Conforme; Conforme com ressalvas; Não conforme; ou Inconclusivo por insuficiência documental. Não atribuir responsabilidade pessoal sem contraditório.</x:v>
      </x:c>
      <x:c r="B45" s="100"/>
      <x:c r="C45" s="100"/>
      <x:c r="D45" s="100"/>
      <x:c r="E45" s="100"/>
      <x:c r="F45" s="100"/>
      <x:c r="G45" s="100"/>
      <x:c r="H45" s="100"/>
    </x:row>
    <x:row r="46" ht="34" customHeight="1">
      <x:c r="A46" s="100"/>
      <x:c r="B46" s="100"/>
      <x:c r="C46" s="100"/>
      <x:c r="D46" s="100"/>
      <x:c r="E46" s="100"/>
      <x:c r="F46" s="100"/>
      <x:c r="G46" s="100"/>
      <x:c r="H46" s="100"/>
    </x:row>
    <x:row r="47">
      <x:c r="A47" s="97"/>
      <x:c r="B47" s="97"/>
      <x:c r="C47" s="97"/>
      <x:c r="D47" s="97"/>
      <x:c r="E47" s="97"/>
      <x:c r="F47" s="97"/>
      <x:c r="G47" s="97"/>
      <x:c r="H47" s="97"/>
    </x:row>
    <x:row r="48">
      <x:c r="A48" s="105" t="str">
        <x:v>Declaração de revisão
A presente minuta foi elaborada com base nas evidências referenciadas e não substitui manifestação jurídica nem atribui responsabilidade pessoal. Toda conclusão deve ser revista, assinada e vinculada ao processo antes da emissão institucional.</x:v>
      </x:c>
      <x:c r="B48" s="105"/>
      <x:c r="C48" s="105"/>
      <x:c r="D48" s="105"/>
      <x:c r="E48" s="105"/>
      <x:c r="F48" s="105"/>
      <x:c r="G48" s="105"/>
      <x:c r="H48" s="105"/>
    </x:row>
    <x:row r="49">
      <x:c r="A49" s="105"/>
      <x:c r="B49" s="105"/>
      <x:c r="C49" s="105"/>
      <x:c r="D49" s="105"/>
      <x:c r="E49" s="105"/>
      <x:c r="F49" s="105"/>
      <x:c r="G49" s="105"/>
      <x:c r="H49" s="105"/>
    </x:row>
    <x:row r="50">
      <x:c r="A50" s="105"/>
      <x:c r="B50" s="105"/>
      <x:c r="C50" s="105"/>
      <x:c r="D50" s="105"/>
      <x:c r="E50" s="105"/>
      <x:c r="F50" s="105"/>
      <x:c r="G50" s="105"/>
      <x:c r="H50" s="105"/>
    </x:row>
    <x:row r="51">
      <x:c r="A51" s="105"/>
      <x:c r="B51" s="105"/>
      <x:c r="C51" s="105"/>
      <x:c r="D51" s="105"/>
      <x:c r="E51" s="105"/>
      <x:c r="F51" s="105"/>
      <x:c r="G51" s="105"/>
      <x:c r="H51" s="105"/>
    </x:row>
  </x:sheetData>
  <x:mergeCells>
    <x:mergeCell ref="A1:H2"/>
    <x:mergeCell ref="A3:H3"/>
    <x:mergeCell ref="A12:H12"/>
    <x:mergeCell ref="A13:H14"/>
    <x:mergeCell ref="A16:H16"/>
    <x:mergeCell ref="A17:H18"/>
    <x:mergeCell ref="A20:H20"/>
    <x:mergeCell ref="A21:H22"/>
    <x:mergeCell ref="A24:H24"/>
    <x:mergeCell ref="A25:H26"/>
    <x:mergeCell ref="A28:H28"/>
    <x:mergeCell ref="A29:H30"/>
    <x:mergeCell ref="A32:H32"/>
    <x:mergeCell ref="A33:H34"/>
    <x:mergeCell ref="A36:H36"/>
    <x:mergeCell ref="A37:H38"/>
    <x:mergeCell ref="A40:H40"/>
    <x:mergeCell ref="A41:H42"/>
    <x:mergeCell ref="A44:H44"/>
    <x:mergeCell ref="A45:H46"/>
    <x:mergeCell ref="A48:H51"/>
  </x:mergeCells>
  <x:pageMargins left="0.7" right="0.7" top="0.75" bottom="0.75" header="0.3" footer="0.3"/>
</x:worksheet>
</file>